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ggan/Desktop/KAREN/"/>
    </mc:Choice>
  </mc:AlternateContent>
  <bookViews>
    <workbookView xWindow="2860" yWindow="460" windowWidth="28800" windowHeight="16000" tabRatio="990" activeTab="6"/>
  </bookViews>
  <sheets>
    <sheet name="Costs" sheetId="43" r:id="rId1"/>
    <sheet name="Energy" sheetId="49" r:id="rId2"/>
    <sheet name="5.7kW" sheetId="47" r:id="rId3"/>
    <sheet name="200kW" sheetId="44" r:id="rId4"/>
    <sheet name="1MW" sheetId="46" r:id="rId5"/>
    <sheet name="5MW" sheetId="35" r:id="rId6"/>
    <sheet name="100MW" sheetId="52" r:id="rId7"/>
  </sheets>
  <externalReferences>
    <externalReference r:id="rId8"/>
    <externalReference r:id="rId9"/>
  </externalReferences>
  <definedNames>
    <definedName name="CE">[1]RRA!$G$307</definedName>
    <definedName name="Deloitte">[1]RRA!$J$6</definedName>
    <definedName name="load">[1]RRA!$G$290</definedName>
    <definedName name="load2">[2]RRA!$G$292</definedName>
    <definedName name="overrun">[1]RRA!$G$297</definedName>
    <definedName name="SiteC">[1]RRA!$G$293</definedName>
    <definedName name="term">[1]RRA!$G$309</definedName>
  </definedNames>
  <calcPr calcId="150001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47" l="1"/>
  <c r="O31" i="47"/>
  <c r="N6" i="47"/>
  <c r="N7" i="47"/>
  <c r="N8" i="47"/>
  <c r="N9" i="47"/>
  <c r="N10" i="47"/>
  <c r="N11" i="47"/>
  <c r="N12" i="47"/>
  <c r="N13" i="47"/>
  <c r="N14" i="47"/>
  <c r="O14" i="47"/>
  <c r="N15" i="47"/>
  <c r="O15" i="47"/>
  <c r="N16" i="47"/>
  <c r="O16" i="47"/>
  <c r="N17" i="47"/>
  <c r="O17" i="47"/>
  <c r="N18" i="47"/>
  <c r="O18" i="47"/>
  <c r="N19" i="47"/>
  <c r="O19" i="47"/>
  <c r="N20" i="47"/>
  <c r="O20" i="47"/>
  <c r="N21" i="47"/>
  <c r="O21" i="47"/>
  <c r="N22" i="47"/>
  <c r="O22" i="47"/>
  <c r="N23" i="47"/>
  <c r="O23" i="47"/>
  <c r="N24" i="47"/>
  <c r="O24" i="47"/>
  <c r="N25" i="47"/>
  <c r="O25" i="47"/>
  <c r="N26" i="47"/>
  <c r="O26" i="47"/>
  <c r="N27" i="47"/>
  <c r="O27" i="47"/>
  <c r="N28" i="47"/>
  <c r="O28" i="47"/>
  <c r="N29" i="47"/>
  <c r="O29" i="47"/>
  <c r="N30" i="47"/>
  <c r="O30" i="47"/>
  <c r="N31" i="47"/>
  <c r="M31" i="47"/>
  <c r="L7" i="47"/>
  <c r="L8" i="47"/>
  <c r="L9" i="47"/>
  <c r="L10" i="47"/>
  <c r="L11" i="47"/>
  <c r="L12" i="47"/>
  <c r="L13" i="47"/>
  <c r="L14" i="47"/>
  <c r="M14" i="47"/>
  <c r="L15" i="47"/>
  <c r="M15" i="47"/>
  <c r="L16" i="47"/>
  <c r="M16" i="47"/>
  <c r="L17" i="47"/>
  <c r="M17" i="47"/>
  <c r="L18" i="47"/>
  <c r="M18" i="47"/>
  <c r="L19" i="47"/>
  <c r="M19" i="47"/>
  <c r="L20" i="47"/>
  <c r="M20" i="47"/>
  <c r="L21" i="47"/>
  <c r="M21" i="47"/>
  <c r="L22" i="47"/>
  <c r="M22" i="47"/>
  <c r="L23" i="47"/>
  <c r="M23" i="47"/>
  <c r="L24" i="47"/>
  <c r="M24" i="47"/>
  <c r="L25" i="47"/>
  <c r="M25" i="47"/>
  <c r="L26" i="47"/>
  <c r="M26" i="47"/>
  <c r="L27" i="47"/>
  <c r="M27" i="47"/>
  <c r="L28" i="47"/>
  <c r="M28" i="47"/>
  <c r="L29" i="47"/>
  <c r="M29" i="47"/>
  <c r="L30" i="47"/>
  <c r="M30" i="47"/>
  <c r="L31" i="47"/>
  <c r="N17" i="43"/>
  <c r="U9" i="43"/>
  <c r="U10" i="43"/>
  <c r="E6" i="52"/>
  <c r="F12" i="43"/>
  <c r="F11" i="43"/>
  <c r="F27" i="43"/>
  <c r="F28" i="43"/>
  <c r="F29" i="43"/>
  <c r="F31" i="43"/>
  <c r="F5" i="52"/>
  <c r="F6" i="52"/>
  <c r="E7" i="52"/>
  <c r="F7" i="52"/>
  <c r="E8" i="52"/>
  <c r="F8" i="52"/>
  <c r="E9" i="52"/>
  <c r="F9" i="52"/>
  <c r="E10" i="52"/>
  <c r="F10" i="52"/>
  <c r="E11" i="52"/>
  <c r="F11" i="52"/>
  <c r="E12" i="52"/>
  <c r="F12" i="52"/>
  <c r="E13" i="52"/>
  <c r="F13" i="52"/>
  <c r="E14" i="52"/>
  <c r="F14" i="52"/>
  <c r="E15" i="52"/>
  <c r="F15" i="52"/>
  <c r="E16" i="52"/>
  <c r="F16" i="52"/>
  <c r="E17" i="52"/>
  <c r="F17" i="52"/>
  <c r="E18" i="52"/>
  <c r="F18" i="52"/>
  <c r="E19" i="52"/>
  <c r="F19" i="52"/>
  <c r="E20" i="52"/>
  <c r="F20" i="52"/>
  <c r="E21" i="52"/>
  <c r="F21" i="52"/>
  <c r="E22" i="52"/>
  <c r="F22" i="52"/>
  <c r="E23" i="52"/>
  <c r="F23" i="52"/>
  <c r="E24" i="52"/>
  <c r="F24" i="52"/>
  <c r="E25" i="52"/>
  <c r="F25" i="52"/>
  <c r="E26" i="52"/>
  <c r="F26" i="52"/>
  <c r="E27" i="52"/>
  <c r="F27" i="52"/>
  <c r="E28" i="52"/>
  <c r="F28" i="52"/>
  <c r="E29" i="52"/>
  <c r="U37" i="43"/>
  <c r="U36" i="43"/>
  <c r="U35" i="43"/>
  <c r="U34" i="43"/>
  <c r="K17" i="43"/>
  <c r="M17" i="43"/>
  <c r="T9" i="43"/>
  <c r="T10" i="43"/>
  <c r="E6" i="35"/>
  <c r="F5" i="35"/>
  <c r="F6" i="35"/>
  <c r="E7" i="35"/>
  <c r="F7" i="35"/>
  <c r="E8" i="35"/>
  <c r="F8" i="35"/>
  <c r="E9" i="35"/>
  <c r="F9" i="35"/>
  <c r="E10" i="35"/>
  <c r="F10" i="35"/>
  <c r="E11" i="35"/>
  <c r="F11" i="35"/>
  <c r="E12" i="35"/>
  <c r="F12" i="35"/>
  <c r="E13" i="35"/>
  <c r="F13" i="35"/>
  <c r="E14" i="35"/>
  <c r="F14" i="35"/>
  <c r="E15" i="35"/>
  <c r="F15" i="35"/>
  <c r="E16" i="35"/>
  <c r="F16" i="35"/>
  <c r="E17" i="35"/>
  <c r="F17" i="35"/>
  <c r="E18" i="35"/>
  <c r="F18" i="35"/>
  <c r="E19" i="35"/>
  <c r="F19" i="35"/>
  <c r="E20" i="35"/>
  <c r="F20" i="35"/>
  <c r="E21" i="35"/>
  <c r="F21" i="35"/>
  <c r="E22" i="35"/>
  <c r="F22" i="35"/>
  <c r="E23" i="35"/>
  <c r="F23" i="35"/>
  <c r="E24" i="35"/>
  <c r="F24" i="35"/>
  <c r="E25" i="35"/>
  <c r="F25" i="35"/>
  <c r="E26" i="35"/>
  <c r="F26" i="35"/>
  <c r="E27" i="35"/>
  <c r="F27" i="35"/>
  <c r="E28" i="35"/>
  <c r="F28" i="35"/>
  <c r="E29" i="35"/>
  <c r="T37" i="43"/>
  <c r="T36" i="43"/>
  <c r="T35" i="43"/>
  <c r="T34" i="43"/>
  <c r="L17" i="43"/>
  <c r="S9" i="43"/>
  <c r="S10" i="43"/>
  <c r="E6" i="46"/>
  <c r="E12" i="43"/>
  <c r="E11" i="43"/>
  <c r="E27" i="43"/>
  <c r="E28" i="43"/>
  <c r="E29" i="43"/>
  <c r="E31" i="43"/>
  <c r="F5" i="46"/>
  <c r="F6" i="46"/>
  <c r="E7" i="46"/>
  <c r="F7" i="46"/>
  <c r="E8" i="46"/>
  <c r="F8" i="46"/>
  <c r="E9" i="46"/>
  <c r="F9" i="46"/>
  <c r="E10" i="46"/>
  <c r="F10" i="46"/>
  <c r="E11" i="46"/>
  <c r="F11" i="46"/>
  <c r="E12" i="46"/>
  <c r="F12" i="46"/>
  <c r="E13" i="46"/>
  <c r="F13" i="46"/>
  <c r="E14" i="46"/>
  <c r="F14" i="46"/>
  <c r="E15" i="46"/>
  <c r="F15" i="46"/>
  <c r="E16" i="46"/>
  <c r="F16" i="46"/>
  <c r="E17" i="46"/>
  <c r="F17" i="46"/>
  <c r="E18" i="46"/>
  <c r="F18" i="46"/>
  <c r="E19" i="46"/>
  <c r="F19" i="46"/>
  <c r="E20" i="46"/>
  <c r="F20" i="46"/>
  <c r="E21" i="46"/>
  <c r="F21" i="46"/>
  <c r="E22" i="46"/>
  <c r="F22" i="46"/>
  <c r="E23" i="46"/>
  <c r="F23" i="46"/>
  <c r="E24" i="46"/>
  <c r="F24" i="46"/>
  <c r="E25" i="46"/>
  <c r="F25" i="46"/>
  <c r="E26" i="46"/>
  <c r="F26" i="46"/>
  <c r="E27" i="46"/>
  <c r="F27" i="46"/>
  <c r="E28" i="46"/>
  <c r="F28" i="46"/>
  <c r="E29" i="46"/>
  <c r="S37" i="43"/>
  <c r="S36" i="43"/>
  <c r="S35" i="43"/>
  <c r="S34" i="43"/>
  <c r="R9" i="43"/>
  <c r="R10" i="43"/>
  <c r="E6" i="44"/>
  <c r="D27" i="43"/>
  <c r="D28" i="43"/>
  <c r="D29" i="43"/>
  <c r="D31" i="43"/>
  <c r="F5" i="44"/>
  <c r="F6" i="44"/>
  <c r="E7" i="44"/>
  <c r="F7" i="44"/>
  <c r="E8" i="44"/>
  <c r="F8" i="44"/>
  <c r="E9" i="44"/>
  <c r="F9" i="44"/>
  <c r="E10" i="44"/>
  <c r="F10" i="44"/>
  <c r="E11" i="44"/>
  <c r="F11" i="44"/>
  <c r="E12" i="44"/>
  <c r="F12" i="44"/>
  <c r="E13" i="44"/>
  <c r="F13" i="44"/>
  <c r="E14" i="44"/>
  <c r="F14" i="44"/>
  <c r="E15" i="44"/>
  <c r="F15" i="44"/>
  <c r="E16" i="44"/>
  <c r="F16" i="44"/>
  <c r="E17" i="44"/>
  <c r="F17" i="44"/>
  <c r="E18" i="44"/>
  <c r="F18" i="44"/>
  <c r="E19" i="44"/>
  <c r="F19" i="44"/>
  <c r="E20" i="44"/>
  <c r="F20" i="44"/>
  <c r="E21" i="44"/>
  <c r="F21" i="44"/>
  <c r="E22" i="44"/>
  <c r="F22" i="44"/>
  <c r="E23" i="44"/>
  <c r="F23" i="44"/>
  <c r="E24" i="44"/>
  <c r="F24" i="44"/>
  <c r="E25" i="44"/>
  <c r="F25" i="44"/>
  <c r="E26" i="44"/>
  <c r="F26" i="44"/>
  <c r="E27" i="44"/>
  <c r="F27" i="44"/>
  <c r="E28" i="44"/>
  <c r="F28" i="44"/>
  <c r="E29" i="44"/>
  <c r="R37" i="43"/>
  <c r="R36" i="43"/>
  <c r="R35" i="43"/>
  <c r="R34" i="43"/>
  <c r="J17" i="43"/>
  <c r="Q9" i="43"/>
  <c r="Q10" i="43"/>
  <c r="Q16" i="43"/>
  <c r="E6" i="47"/>
  <c r="C27" i="43"/>
  <c r="C28" i="43"/>
  <c r="C29" i="43"/>
  <c r="C31" i="43"/>
  <c r="F5" i="47"/>
  <c r="F6" i="47"/>
  <c r="E7" i="47"/>
  <c r="F7" i="47"/>
  <c r="E8" i="47"/>
  <c r="F8" i="47"/>
  <c r="E9" i="47"/>
  <c r="F9" i="47"/>
  <c r="E10" i="47"/>
  <c r="F10" i="47"/>
  <c r="E11" i="47"/>
  <c r="F11" i="47"/>
  <c r="E12" i="47"/>
  <c r="F12" i="47"/>
  <c r="E13" i="47"/>
  <c r="F13" i="47"/>
  <c r="E14" i="47"/>
  <c r="F14" i="47"/>
  <c r="E15" i="47"/>
  <c r="F15" i="47"/>
  <c r="E16" i="47"/>
  <c r="F16" i="47"/>
  <c r="E17" i="47"/>
  <c r="F17" i="47"/>
  <c r="E18" i="47"/>
  <c r="F18" i="47"/>
  <c r="E19" i="47"/>
  <c r="F19" i="47"/>
  <c r="E20" i="47"/>
  <c r="F20" i="47"/>
  <c r="E21" i="47"/>
  <c r="F21" i="47"/>
  <c r="E22" i="47"/>
  <c r="F22" i="47"/>
  <c r="E23" i="47"/>
  <c r="F23" i="47"/>
  <c r="E24" i="47"/>
  <c r="F24" i="47"/>
  <c r="E25" i="47"/>
  <c r="F25" i="47"/>
  <c r="E26" i="47"/>
  <c r="F26" i="47"/>
  <c r="E27" i="47"/>
  <c r="F27" i="47"/>
  <c r="E28" i="47"/>
  <c r="F28" i="47"/>
  <c r="E29" i="47"/>
  <c r="Q37" i="43"/>
  <c r="Q36" i="43"/>
  <c r="Q35" i="43"/>
  <c r="Q34" i="43"/>
  <c r="C6" i="52"/>
  <c r="D5" i="52"/>
  <c r="D6" i="52"/>
  <c r="C7" i="52"/>
  <c r="D7" i="52"/>
  <c r="C8" i="52"/>
  <c r="D8" i="52"/>
  <c r="C9" i="52"/>
  <c r="D9" i="52"/>
  <c r="C10" i="52"/>
  <c r="D10" i="52"/>
  <c r="C11" i="52"/>
  <c r="D11" i="52"/>
  <c r="C12" i="52"/>
  <c r="D12" i="52"/>
  <c r="C13" i="52"/>
  <c r="D13" i="52"/>
  <c r="C14" i="52"/>
  <c r="D14" i="52"/>
  <c r="C15" i="52"/>
  <c r="D15" i="52"/>
  <c r="C16" i="52"/>
  <c r="D16" i="52"/>
  <c r="C17" i="52"/>
  <c r="D17" i="52"/>
  <c r="C18" i="52"/>
  <c r="D18" i="52"/>
  <c r="C19" i="52"/>
  <c r="D19" i="52"/>
  <c r="C20" i="52"/>
  <c r="D20" i="52"/>
  <c r="C21" i="52"/>
  <c r="D21" i="52"/>
  <c r="C22" i="52"/>
  <c r="D22" i="52"/>
  <c r="C23" i="52"/>
  <c r="D23" i="52"/>
  <c r="C24" i="52"/>
  <c r="D24" i="52"/>
  <c r="C25" i="52"/>
  <c r="D25" i="52"/>
  <c r="C26" i="52"/>
  <c r="D26" i="52"/>
  <c r="C27" i="52"/>
  <c r="D27" i="52"/>
  <c r="C28" i="52"/>
  <c r="D28" i="52"/>
  <c r="C29" i="52"/>
  <c r="U33" i="43"/>
  <c r="U32" i="43"/>
  <c r="U31" i="43"/>
  <c r="U30" i="43"/>
  <c r="C6" i="35"/>
  <c r="D5" i="35"/>
  <c r="D6" i="35"/>
  <c r="C7" i="35"/>
  <c r="D7" i="35"/>
  <c r="C8" i="35"/>
  <c r="D8" i="35"/>
  <c r="C9" i="35"/>
  <c r="D9" i="35"/>
  <c r="C10" i="35"/>
  <c r="D10" i="35"/>
  <c r="C11" i="35"/>
  <c r="D11" i="35"/>
  <c r="C12" i="35"/>
  <c r="D12" i="35"/>
  <c r="C13" i="35"/>
  <c r="D13" i="35"/>
  <c r="C14" i="35"/>
  <c r="D14" i="35"/>
  <c r="C15" i="35"/>
  <c r="D15" i="35"/>
  <c r="C16" i="35"/>
  <c r="D16" i="35"/>
  <c r="C17" i="35"/>
  <c r="D17" i="35"/>
  <c r="C18" i="35"/>
  <c r="D18" i="35"/>
  <c r="C19" i="35"/>
  <c r="D19" i="35"/>
  <c r="C20" i="35"/>
  <c r="D20" i="35"/>
  <c r="C21" i="35"/>
  <c r="D21" i="35"/>
  <c r="C22" i="35"/>
  <c r="D22" i="35"/>
  <c r="C23" i="35"/>
  <c r="D23" i="35"/>
  <c r="C24" i="35"/>
  <c r="D24" i="35"/>
  <c r="C25" i="35"/>
  <c r="D25" i="35"/>
  <c r="C26" i="35"/>
  <c r="D26" i="35"/>
  <c r="C27" i="35"/>
  <c r="D27" i="35"/>
  <c r="C28" i="35"/>
  <c r="D28" i="35"/>
  <c r="C29" i="35"/>
  <c r="T33" i="43"/>
  <c r="T32" i="43"/>
  <c r="T31" i="43"/>
  <c r="T30" i="43"/>
  <c r="C6" i="46"/>
  <c r="D5" i="46"/>
  <c r="D6" i="46"/>
  <c r="C7" i="46"/>
  <c r="D7" i="46"/>
  <c r="C8" i="46"/>
  <c r="D8" i="46"/>
  <c r="C9" i="46"/>
  <c r="D9" i="46"/>
  <c r="C10" i="46"/>
  <c r="D10" i="46"/>
  <c r="C11" i="46"/>
  <c r="D11" i="46"/>
  <c r="C12" i="46"/>
  <c r="D12" i="46"/>
  <c r="C13" i="46"/>
  <c r="D13" i="46"/>
  <c r="C14" i="46"/>
  <c r="D14" i="46"/>
  <c r="C15" i="46"/>
  <c r="D15" i="46"/>
  <c r="C16" i="46"/>
  <c r="D16" i="46"/>
  <c r="C17" i="46"/>
  <c r="D17" i="46"/>
  <c r="C18" i="46"/>
  <c r="D18" i="46"/>
  <c r="C19" i="46"/>
  <c r="D19" i="46"/>
  <c r="C20" i="46"/>
  <c r="D20" i="46"/>
  <c r="C21" i="46"/>
  <c r="D21" i="46"/>
  <c r="C22" i="46"/>
  <c r="D22" i="46"/>
  <c r="C23" i="46"/>
  <c r="D23" i="46"/>
  <c r="C24" i="46"/>
  <c r="D24" i="46"/>
  <c r="C25" i="46"/>
  <c r="D25" i="46"/>
  <c r="C26" i="46"/>
  <c r="D26" i="46"/>
  <c r="C27" i="46"/>
  <c r="D27" i="46"/>
  <c r="C28" i="46"/>
  <c r="D28" i="46"/>
  <c r="C29" i="46"/>
  <c r="S33" i="43"/>
  <c r="S32" i="43"/>
  <c r="S31" i="43"/>
  <c r="S30" i="43"/>
  <c r="C6" i="44"/>
  <c r="D5" i="44"/>
  <c r="D6" i="44"/>
  <c r="C7" i="44"/>
  <c r="D7" i="44"/>
  <c r="C8" i="44"/>
  <c r="D8" i="44"/>
  <c r="C9" i="44"/>
  <c r="D9" i="44"/>
  <c r="C10" i="44"/>
  <c r="D10" i="44"/>
  <c r="C11" i="44"/>
  <c r="D11" i="44"/>
  <c r="C12" i="44"/>
  <c r="D12" i="44"/>
  <c r="C13" i="44"/>
  <c r="D13" i="44"/>
  <c r="C14" i="44"/>
  <c r="D14" i="44"/>
  <c r="C15" i="44"/>
  <c r="D15" i="44"/>
  <c r="C16" i="44"/>
  <c r="D16" i="44"/>
  <c r="C17" i="44"/>
  <c r="D17" i="44"/>
  <c r="C18" i="44"/>
  <c r="D18" i="44"/>
  <c r="C19" i="44"/>
  <c r="D19" i="44"/>
  <c r="C20" i="44"/>
  <c r="D20" i="44"/>
  <c r="C21" i="44"/>
  <c r="D21" i="44"/>
  <c r="C22" i="44"/>
  <c r="D22" i="44"/>
  <c r="C23" i="44"/>
  <c r="D23" i="44"/>
  <c r="C24" i="44"/>
  <c r="D24" i="44"/>
  <c r="C25" i="44"/>
  <c r="D25" i="44"/>
  <c r="C26" i="44"/>
  <c r="D26" i="44"/>
  <c r="C27" i="44"/>
  <c r="D27" i="44"/>
  <c r="C28" i="44"/>
  <c r="D28" i="44"/>
  <c r="C29" i="44"/>
  <c r="R33" i="43"/>
  <c r="R32" i="43"/>
  <c r="R31" i="43"/>
  <c r="R30" i="43"/>
  <c r="U29" i="43"/>
  <c r="T29" i="43"/>
  <c r="S29" i="43"/>
  <c r="R29" i="43"/>
  <c r="Q29" i="43"/>
  <c r="P29" i="43"/>
  <c r="U28" i="43"/>
  <c r="T28" i="43"/>
  <c r="S28" i="43"/>
  <c r="R28" i="43"/>
  <c r="Q28" i="43"/>
  <c r="P28" i="43"/>
  <c r="C6" i="47"/>
  <c r="D5" i="47"/>
  <c r="D6" i="47"/>
  <c r="C7" i="47"/>
  <c r="D7" i="47"/>
  <c r="C8" i="47"/>
  <c r="D8" i="47"/>
  <c r="C9" i="47"/>
  <c r="D9" i="47"/>
  <c r="C10" i="47"/>
  <c r="D10" i="47"/>
  <c r="C11" i="47"/>
  <c r="D11" i="47"/>
  <c r="C12" i="47"/>
  <c r="D12" i="47"/>
  <c r="C13" i="47"/>
  <c r="D13" i="47"/>
  <c r="C14" i="47"/>
  <c r="D14" i="47"/>
  <c r="C15" i="47"/>
  <c r="D15" i="47"/>
  <c r="C16" i="47"/>
  <c r="D16" i="47"/>
  <c r="C17" i="47"/>
  <c r="D17" i="47"/>
  <c r="C18" i="47"/>
  <c r="D18" i="47"/>
  <c r="C19" i="47"/>
  <c r="D19" i="47"/>
  <c r="C20" i="47"/>
  <c r="D20" i="47"/>
  <c r="C21" i="47"/>
  <c r="D21" i="47"/>
  <c r="C22" i="47"/>
  <c r="D22" i="47"/>
  <c r="C23" i="47"/>
  <c r="D23" i="47"/>
  <c r="C24" i="47"/>
  <c r="D24" i="47"/>
  <c r="C25" i="47"/>
  <c r="D25" i="47"/>
  <c r="C26" i="47"/>
  <c r="D26" i="47"/>
  <c r="C27" i="47"/>
  <c r="D27" i="47"/>
  <c r="C28" i="47"/>
  <c r="D28" i="47"/>
  <c r="C29" i="47"/>
  <c r="Q33" i="43"/>
  <c r="Q32" i="43"/>
  <c r="Q31" i="43"/>
  <c r="Q30" i="43"/>
  <c r="U16" i="43"/>
  <c r="U27" i="43"/>
  <c r="T16" i="43"/>
  <c r="T27" i="43"/>
  <c r="S16" i="43"/>
  <c r="S27" i="43"/>
  <c r="R16" i="43"/>
  <c r="R27" i="43"/>
  <c r="Q27" i="43"/>
  <c r="Q20" i="43"/>
  <c r="E33" i="47"/>
  <c r="Q19" i="43"/>
  <c r="C33" i="47"/>
  <c r="D29" i="47"/>
  <c r="D30" i="47"/>
  <c r="D31" i="47"/>
  <c r="C30" i="47"/>
  <c r="C31" i="47"/>
  <c r="G32" i="49"/>
  <c r="F32" i="49"/>
  <c r="E32" i="49"/>
  <c r="D32" i="49"/>
  <c r="C30" i="49"/>
  <c r="C32" i="49"/>
  <c r="F9" i="49"/>
  <c r="F24" i="49"/>
  <c r="F8" i="49"/>
  <c r="F23" i="49"/>
  <c r="F7" i="49"/>
  <c r="F22" i="49"/>
  <c r="S20" i="43"/>
  <c r="E33" i="46"/>
  <c r="S19" i="43"/>
  <c r="C33" i="46"/>
  <c r="R20" i="43"/>
  <c r="E33" i="44"/>
  <c r="R19" i="43"/>
  <c r="C33" i="44"/>
  <c r="T20" i="43"/>
  <c r="E33" i="35"/>
  <c r="T19" i="43"/>
  <c r="C33" i="35"/>
  <c r="U20" i="43"/>
  <c r="E33" i="52"/>
  <c r="U19" i="43"/>
  <c r="C33" i="52"/>
  <c r="N16" i="43"/>
  <c r="U8" i="43"/>
  <c r="K16" i="43"/>
  <c r="M16" i="43"/>
  <c r="T8" i="43"/>
  <c r="L16" i="43"/>
  <c r="S8" i="43"/>
  <c r="R8" i="43"/>
  <c r="J16" i="43"/>
  <c r="Q8" i="43"/>
  <c r="N15" i="43"/>
  <c r="U7" i="43"/>
  <c r="K15" i="43"/>
  <c r="M15" i="43"/>
  <c r="T7" i="43"/>
  <c r="L15" i="43"/>
  <c r="S7" i="43"/>
  <c r="R7" i="43"/>
  <c r="J15" i="43"/>
  <c r="Q7" i="43"/>
  <c r="D29" i="44"/>
  <c r="D30" i="44"/>
  <c r="D31" i="44"/>
  <c r="C30" i="44"/>
  <c r="C31" i="44"/>
  <c r="O31" i="52"/>
  <c r="L6" i="52"/>
  <c r="N6" i="52"/>
  <c r="N7" i="52"/>
  <c r="N8" i="52"/>
  <c r="N9" i="52"/>
  <c r="N10" i="52"/>
  <c r="N11" i="52"/>
  <c r="N12" i="52"/>
  <c r="N13" i="52"/>
  <c r="N14" i="52"/>
  <c r="O14" i="52"/>
  <c r="N15" i="52"/>
  <c r="O15" i="52"/>
  <c r="N16" i="52"/>
  <c r="O16" i="52"/>
  <c r="N17" i="52"/>
  <c r="O17" i="52"/>
  <c r="N18" i="52"/>
  <c r="O18" i="52"/>
  <c r="N19" i="52"/>
  <c r="O19" i="52"/>
  <c r="N20" i="52"/>
  <c r="O20" i="52"/>
  <c r="N21" i="52"/>
  <c r="O21" i="52"/>
  <c r="N22" i="52"/>
  <c r="O22" i="52"/>
  <c r="N23" i="52"/>
  <c r="O23" i="52"/>
  <c r="N24" i="52"/>
  <c r="O24" i="52"/>
  <c r="N25" i="52"/>
  <c r="O25" i="52"/>
  <c r="N26" i="52"/>
  <c r="O26" i="52"/>
  <c r="N27" i="52"/>
  <c r="O27" i="52"/>
  <c r="N28" i="52"/>
  <c r="O28" i="52"/>
  <c r="N29" i="52"/>
  <c r="O29" i="52"/>
  <c r="N30" i="52"/>
  <c r="O30" i="52"/>
  <c r="N31" i="52"/>
  <c r="M31" i="52"/>
  <c r="L7" i="52"/>
  <c r="L8" i="52"/>
  <c r="L9" i="52"/>
  <c r="L10" i="52"/>
  <c r="L11" i="52"/>
  <c r="L12" i="52"/>
  <c r="L13" i="52"/>
  <c r="L14" i="52"/>
  <c r="M14" i="52"/>
  <c r="L15" i="52"/>
  <c r="M15" i="52"/>
  <c r="L16" i="52"/>
  <c r="M16" i="52"/>
  <c r="L17" i="52"/>
  <c r="M17" i="52"/>
  <c r="L18" i="52"/>
  <c r="M18" i="52"/>
  <c r="L19" i="52"/>
  <c r="M19" i="52"/>
  <c r="L20" i="52"/>
  <c r="M20" i="52"/>
  <c r="L21" i="52"/>
  <c r="M21" i="52"/>
  <c r="L22" i="52"/>
  <c r="M22" i="52"/>
  <c r="L23" i="52"/>
  <c r="M23" i="52"/>
  <c r="L24" i="52"/>
  <c r="M24" i="52"/>
  <c r="L25" i="52"/>
  <c r="M25" i="52"/>
  <c r="L26" i="52"/>
  <c r="M26" i="52"/>
  <c r="L27" i="52"/>
  <c r="M27" i="52"/>
  <c r="L28" i="52"/>
  <c r="M28" i="52"/>
  <c r="L29" i="52"/>
  <c r="M29" i="52"/>
  <c r="L30" i="52"/>
  <c r="M30" i="52"/>
  <c r="L31" i="52"/>
  <c r="K31" i="52"/>
  <c r="H6" i="52"/>
  <c r="J6" i="52"/>
  <c r="J7" i="52"/>
  <c r="J8" i="52"/>
  <c r="J9" i="52"/>
  <c r="J10" i="52"/>
  <c r="J11" i="52"/>
  <c r="J12" i="52"/>
  <c r="J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J25" i="52"/>
  <c r="K25" i="52"/>
  <c r="J26" i="52"/>
  <c r="K26" i="52"/>
  <c r="J27" i="52"/>
  <c r="K27" i="52"/>
  <c r="J28" i="52"/>
  <c r="K28" i="52"/>
  <c r="J29" i="52"/>
  <c r="K29" i="52"/>
  <c r="J30" i="52"/>
  <c r="K30" i="52"/>
  <c r="J31" i="52"/>
  <c r="I31" i="52"/>
  <c r="H7" i="52"/>
  <c r="H8" i="52"/>
  <c r="H9" i="52"/>
  <c r="H10" i="52"/>
  <c r="H11" i="52"/>
  <c r="H12" i="52"/>
  <c r="H13" i="52"/>
  <c r="H14" i="52"/>
  <c r="I14" i="52"/>
  <c r="H15" i="52"/>
  <c r="I15" i="52"/>
  <c r="H16" i="52"/>
  <c r="I16" i="52"/>
  <c r="H17" i="52"/>
  <c r="I17" i="52"/>
  <c r="H18" i="52"/>
  <c r="I18" i="52"/>
  <c r="H19" i="52"/>
  <c r="I19" i="52"/>
  <c r="H20" i="52"/>
  <c r="I20" i="52"/>
  <c r="H21" i="52"/>
  <c r="I21" i="52"/>
  <c r="H22" i="52"/>
  <c r="I22" i="52"/>
  <c r="H23" i="52"/>
  <c r="I23" i="52"/>
  <c r="H24" i="52"/>
  <c r="I24" i="52"/>
  <c r="H25" i="52"/>
  <c r="I25" i="52"/>
  <c r="H26" i="52"/>
  <c r="I26" i="52"/>
  <c r="H27" i="52"/>
  <c r="I27" i="52"/>
  <c r="H28" i="52"/>
  <c r="I28" i="52"/>
  <c r="H29" i="52"/>
  <c r="I29" i="52"/>
  <c r="H30" i="52"/>
  <c r="I30" i="52"/>
  <c r="H31" i="52"/>
  <c r="F29" i="52"/>
  <c r="F30" i="52"/>
  <c r="F31" i="52"/>
  <c r="E30" i="52"/>
  <c r="E31" i="52"/>
  <c r="D29" i="52"/>
  <c r="D30" i="52"/>
  <c r="D31" i="52"/>
  <c r="C30" i="52"/>
  <c r="C31" i="52"/>
  <c r="B7" i="52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D29" i="35"/>
  <c r="D30" i="35"/>
  <c r="D31" i="35"/>
  <c r="C30" i="35"/>
  <c r="C31" i="35"/>
  <c r="D29" i="46"/>
  <c r="D30" i="46"/>
  <c r="D31" i="46"/>
  <c r="C30" i="46"/>
  <c r="C31" i="46"/>
  <c r="E9" i="49"/>
  <c r="E24" i="49"/>
  <c r="D9" i="49"/>
  <c r="D24" i="49"/>
  <c r="E8" i="49"/>
  <c r="E23" i="49"/>
  <c r="D8" i="49"/>
  <c r="D23" i="49"/>
  <c r="E7" i="49"/>
  <c r="E22" i="49"/>
  <c r="D7" i="49"/>
  <c r="D22" i="49"/>
  <c r="C24" i="49"/>
  <c r="C23" i="49"/>
  <c r="C22" i="49"/>
  <c r="G17" i="43"/>
  <c r="F17" i="43"/>
  <c r="E17" i="43"/>
  <c r="D17" i="43"/>
  <c r="G16" i="43"/>
  <c r="F16" i="43"/>
  <c r="E16" i="43"/>
  <c r="D16" i="43"/>
  <c r="G15" i="43"/>
  <c r="F15" i="43"/>
  <c r="E15" i="43"/>
  <c r="D15" i="43"/>
  <c r="C16" i="43"/>
  <c r="C15" i="43"/>
  <c r="C17" i="43"/>
  <c r="G27" i="43"/>
  <c r="G28" i="43"/>
  <c r="G29" i="43"/>
  <c r="G31" i="43"/>
  <c r="G26" i="43"/>
  <c r="F10" i="43"/>
  <c r="F26" i="43"/>
  <c r="E10" i="43"/>
  <c r="E26" i="43"/>
  <c r="D26" i="43"/>
  <c r="G25" i="43"/>
  <c r="F9" i="43"/>
  <c r="F25" i="43"/>
  <c r="E9" i="43"/>
  <c r="E25" i="43"/>
  <c r="D25" i="43"/>
  <c r="G24" i="43"/>
  <c r="F8" i="43"/>
  <c r="F24" i="43"/>
  <c r="E8" i="43"/>
  <c r="E24" i="43"/>
  <c r="D24" i="43"/>
  <c r="G23" i="43"/>
  <c r="F7" i="43"/>
  <c r="F23" i="43"/>
  <c r="E7" i="43"/>
  <c r="E23" i="43"/>
  <c r="D23" i="43"/>
  <c r="C26" i="43"/>
  <c r="C25" i="43"/>
  <c r="C24" i="43"/>
  <c r="C23" i="43"/>
  <c r="H6" i="35"/>
  <c r="J6" i="35"/>
  <c r="L6" i="35"/>
  <c r="H6" i="47"/>
  <c r="K31" i="47"/>
  <c r="J6" i="47"/>
  <c r="J7" i="47"/>
  <c r="J8" i="47"/>
  <c r="J9" i="47"/>
  <c r="J10" i="47"/>
  <c r="J11" i="47"/>
  <c r="J12" i="47"/>
  <c r="J13" i="47"/>
  <c r="J14" i="47"/>
  <c r="K14" i="47"/>
  <c r="J15" i="47"/>
  <c r="K15" i="47"/>
  <c r="J16" i="47"/>
  <c r="K16" i="47"/>
  <c r="J17" i="47"/>
  <c r="K17" i="47"/>
  <c r="J18" i="47"/>
  <c r="K18" i="47"/>
  <c r="J19" i="47"/>
  <c r="K19" i="47"/>
  <c r="J20" i="47"/>
  <c r="K20" i="47"/>
  <c r="J21" i="47"/>
  <c r="K21" i="47"/>
  <c r="J22" i="47"/>
  <c r="K22" i="47"/>
  <c r="J23" i="47"/>
  <c r="K23" i="47"/>
  <c r="J24" i="47"/>
  <c r="K24" i="47"/>
  <c r="J25" i="47"/>
  <c r="K25" i="47"/>
  <c r="J26" i="47"/>
  <c r="K26" i="47"/>
  <c r="J27" i="47"/>
  <c r="K27" i="47"/>
  <c r="J28" i="47"/>
  <c r="K28" i="47"/>
  <c r="J29" i="47"/>
  <c r="K29" i="47"/>
  <c r="J30" i="47"/>
  <c r="K30" i="47"/>
  <c r="J31" i="47"/>
  <c r="I31" i="47"/>
  <c r="H7" i="47"/>
  <c r="H8" i="47"/>
  <c r="H9" i="47"/>
  <c r="H10" i="47"/>
  <c r="H11" i="47"/>
  <c r="H12" i="47"/>
  <c r="H13" i="47"/>
  <c r="H14" i="47"/>
  <c r="I14" i="47"/>
  <c r="H15" i="47"/>
  <c r="I15" i="47"/>
  <c r="H16" i="47"/>
  <c r="I16" i="47"/>
  <c r="H17" i="47"/>
  <c r="I17" i="47"/>
  <c r="H18" i="47"/>
  <c r="I18" i="47"/>
  <c r="H19" i="47"/>
  <c r="I19" i="47"/>
  <c r="H20" i="47"/>
  <c r="I20" i="47"/>
  <c r="H21" i="47"/>
  <c r="I21" i="47"/>
  <c r="H22" i="47"/>
  <c r="I22" i="47"/>
  <c r="H23" i="47"/>
  <c r="I23" i="47"/>
  <c r="H24" i="47"/>
  <c r="I24" i="47"/>
  <c r="H25" i="47"/>
  <c r="I25" i="47"/>
  <c r="H26" i="47"/>
  <c r="I26" i="47"/>
  <c r="H27" i="47"/>
  <c r="I27" i="47"/>
  <c r="H28" i="47"/>
  <c r="I28" i="47"/>
  <c r="H29" i="47"/>
  <c r="I29" i="47"/>
  <c r="H30" i="47"/>
  <c r="I30" i="47"/>
  <c r="H31" i="47"/>
  <c r="F29" i="47"/>
  <c r="F30" i="47"/>
  <c r="F31" i="47"/>
  <c r="E30" i="47"/>
  <c r="E31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E30" i="43"/>
  <c r="H6" i="46"/>
  <c r="K31" i="46"/>
  <c r="J6" i="46"/>
  <c r="J7" i="46"/>
  <c r="J8" i="46"/>
  <c r="J9" i="46"/>
  <c r="J10" i="46"/>
  <c r="J11" i="46"/>
  <c r="J12" i="46"/>
  <c r="J13" i="46"/>
  <c r="J14" i="46"/>
  <c r="K14" i="46"/>
  <c r="J15" i="46"/>
  <c r="K15" i="46"/>
  <c r="J16" i="46"/>
  <c r="K16" i="46"/>
  <c r="J17" i="46"/>
  <c r="K17" i="46"/>
  <c r="J18" i="46"/>
  <c r="K18" i="46"/>
  <c r="J19" i="46"/>
  <c r="K19" i="46"/>
  <c r="J20" i="46"/>
  <c r="K20" i="46"/>
  <c r="J21" i="46"/>
  <c r="K21" i="46"/>
  <c r="J22" i="46"/>
  <c r="K22" i="46"/>
  <c r="J23" i="46"/>
  <c r="K23" i="46"/>
  <c r="J24" i="46"/>
  <c r="K24" i="46"/>
  <c r="J25" i="46"/>
  <c r="K25" i="46"/>
  <c r="J26" i="46"/>
  <c r="K26" i="46"/>
  <c r="J27" i="46"/>
  <c r="K27" i="46"/>
  <c r="J28" i="46"/>
  <c r="K28" i="46"/>
  <c r="J29" i="46"/>
  <c r="K29" i="46"/>
  <c r="J30" i="46"/>
  <c r="K30" i="46"/>
  <c r="J31" i="46"/>
  <c r="I31" i="46"/>
  <c r="H7" i="46"/>
  <c r="H8" i="46"/>
  <c r="H9" i="46"/>
  <c r="H10" i="46"/>
  <c r="H11" i="46"/>
  <c r="H12" i="46"/>
  <c r="H13" i="46"/>
  <c r="H14" i="46"/>
  <c r="I14" i="46"/>
  <c r="H15" i="46"/>
  <c r="I15" i="46"/>
  <c r="H16" i="46"/>
  <c r="I16" i="46"/>
  <c r="H17" i="46"/>
  <c r="I17" i="46"/>
  <c r="H18" i="46"/>
  <c r="I18" i="46"/>
  <c r="H19" i="46"/>
  <c r="I19" i="46"/>
  <c r="H20" i="46"/>
  <c r="I20" i="46"/>
  <c r="H21" i="46"/>
  <c r="I21" i="46"/>
  <c r="H22" i="46"/>
  <c r="I22" i="46"/>
  <c r="H23" i="46"/>
  <c r="I23" i="46"/>
  <c r="H24" i="46"/>
  <c r="I24" i="46"/>
  <c r="H25" i="46"/>
  <c r="I25" i="46"/>
  <c r="H26" i="46"/>
  <c r="I26" i="46"/>
  <c r="H27" i="46"/>
  <c r="I27" i="46"/>
  <c r="H28" i="46"/>
  <c r="I28" i="46"/>
  <c r="H29" i="46"/>
  <c r="I29" i="46"/>
  <c r="H30" i="46"/>
  <c r="I30" i="46"/>
  <c r="H31" i="46"/>
  <c r="F29" i="46"/>
  <c r="F30" i="46"/>
  <c r="F31" i="46"/>
  <c r="E30" i="46"/>
  <c r="E31" i="46"/>
  <c r="B7" i="46"/>
  <c r="B8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H6" i="44"/>
  <c r="J6" i="44"/>
  <c r="F30" i="43"/>
  <c r="G30" i="43"/>
  <c r="D30" i="43"/>
  <c r="C30" i="43"/>
  <c r="K31" i="44"/>
  <c r="J7" i="44"/>
  <c r="J8" i="44"/>
  <c r="J9" i="44"/>
  <c r="J10" i="44"/>
  <c r="J11" i="44"/>
  <c r="J12" i="44"/>
  <c r="J13" i="44"/>
  <c r="J14" i="44"/>
  <c r="K14" i="44"/>
  <c r="J15" i="44"/>
  <c r="K15" i="44"/>
  <c r="J16" i="44"/>
  <c r="K16" i="44"/>
  <c r="J17" i="44"/>
  <c r="K17" i="44"/>
  <c r="J18" i="44"/>
  <c r="K18" i="44"/>
  <c r="J19" i="44"/>
  <c r="K19" i="44"/>
  <c r="J20" i="44"/>
  <c r="K20" i="44"/>
  <c r="J21" i="44"/>
  <c r="K21" i="44"/>
  <c r="J22" i="44"/>
  <c r="K22" i="44"/>
  <c r="J23" i="44"/>
  <c r="K23" i="44"/>
  <c r="J24" i="44"/>
  <c r="K24" i="44"/>
  <c r="J25" i="44"/>
  <c r="K25" i="44"/>
  <c r="J26" i="44"/>
  <c r="K26" i="44"/>
  <c r="J27" i="44"/>
  <c r="K27" i="44"/>
  <c r="J28" i="44"/>
  <c r="K28" i="44"/>
  <c r="J29" i="44"/>
  <c r="K29" i="44"/>
  <c r="J30" i="44"/>
  <c r="K30" i="44"/>
  <c r="J31" i="44"/>
  <c r="I31" i="44"/>
  <c r="H7" i="44"/>
  <c r="H8" i="44"/>
  <c r="H9" i="44"/>
  <c r="H10" i="44"/>
  <c r="H11" i="44"/>
  <c r="H12" i="44"/>
  <c r="H13" i="44"/>
  <c r="H14" i="44"/>
  <c r="I14" i="44"/>
  <c r="H15" i="44"/>
  <c r="I15" i="44"/>
  <c r="H16" i="44"/>
  <c r="I16" i="44"/>
  <c r="H17" i="44"/>
  <c r="I17" i="44"/>
  <c r="H18" i="44"/>
  <c r="I18" i="44"/>
  <c r="H19" i="44"/>
  <c r="I19" i="44"/>
  <c r="H20" i="44"/>
  <c r="I20" i="44"/>
  <c r="H21" i="44"/>
  <c r="I21" i="44"/>
  <c r="H22" i="44"/>
  <c r="I22" i="44"/>
  <c r="H23" i="44"/>
  <c r="I23" i="44"/>
  <c r="H24" i="44"/>
  <c r="I24" i="44"/>
  <c r="H25" i="44"/>
  <c r="I25" i="44"/>
  <c r="H26" i="44"/>
  <c r="I26" i="44"/>
  <c r="H27" i="44"/>
  <c r="I27" i="44"/>
  <c r="H28" i="44"/>
  <c r="I28" i="44"/>
  <c r="H29" i="44"/>
  <c r="I29" i="44"/>
  <c r="H30" i="44"/>
  <c r="I30" i="44"/>
  <c r="H31" i="44"/>
  <c r="F29" i="44"/>
  <c r="F30" i="44"/>
  <c r="F31" i="44"/>
  <c r="E30" i="44"/>
  <c r="E31" i="44"/>
  <c r="B7" i="44"/>
  <c r="B8" i="44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N6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N7" i="35"/>
  <c r="N8" i="35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M31" i="35"/>
  <c r="L7" i="35"/>
  <c r="L8" i="35"/>
  <c r="L9" i="35"/>
  <c r="L10" i="35"/>
  <c r="L11" i="35"/>
  <c r="L12" i="35"/>
  <c r="L13" i="35"/>
  <c r="L14" i="35"/>
  <c r="M14" i="35"/>
  <c r="L15" i="35"/>
  <c r="M15" i="35"/>
  <c r="L16" i="35"/>
  <c r="M16" i="35"/>
  <c r="L17" i="35"/>
  <c r="M17" i="35"/>
  <c r="L18" i="35"/>
  <c r="M18" i="35"/>
  <c r="L19" i="35"/>
  <c r="M19" i="35"/>
  <c r="L20" i="35"/>
  <c r="M20" i="35"/>
  <c r="L21" i="35"/>
  <c r="M21" i="35"/>
  <c r="L22" i="35"/>
  <c r="M22" i="35"/>
  <c r="L23" i="35"/>
  <c r="M23" i="35"/>
  <c r="L24" i="35"/>
  <c r="M24" i="35"/>
  <c r="L25" i="35"/>
  <c r="M25" i="35"/>
  <c r="L26" i="35"/>
  <c r="M26" i="35"/>
  <c r="L27" i="35"/>
  <c r="M27" i="35"/>
  <c r="L28" i="35"/>
  <c r="M28" i="35"/>
  <c r="L29" i="35"/>
  <c r="M29" i="35"/>
  <c r="L30" i="35"/>
  <c r="M30" i="35"/>
  <c r="L31" i="35"/>
  <c r="I31" i="35"/>
  <c r="H7" i="35"/>
  <c r="H8" i="35"/>
  <c r="H9" i="35"/>
  <c r="H10" i="35"/>
  <c r="H11" i="35"/>
  <c r="H12" i="35"/>
  <c r="H13" i="35"/>
  <c r="H14" i="35"/>
  <c r="I14" i="35"/>
  <c r="H15" i="35"/>
  <c r="I15" i="35"/>
  <c r="H16" i="35"/>
  <c r="I16" i="35"/>
  <c r="H17" i="35"/>
  <c r="I17" i="35"/>
  <c r="H18" i="35"/>
  <c r="I18" i="35"/>
  <c r="H19" i="35"/>
  <c r="I19" i="35"/>
  <c r="H20" i="35"/>
  <c r="I20" i="35"/>
  <c r="H21" i="35"/>
  <c r="I21" i="35"/>
  <c r="H22" i="35"/>
  <c r="I22" i="35"/>
  <c r="H23" i="35"/>
  <c r="I23" i="35"/>
  <c r="H24" i="35"/>
  <c r="I24" i="35"/>
  <c r="H25" i="35"/>
  <c r="I25" i="35"/>
  <c r="H26" i="35"/>
  <c r="I26" i="35"/>
  <c r="H27" i="35"/>
  <c r="I27" i="35"/>
  <c r="H28" i="35"/>
  <c r="I28" i="35"/>
  <c r="H29" i="35"/>
  <c r="I29" i="35"/>
  <c r="H30" i="35"/>
  <c r="I30" i="35"/>
  <c r="H31" i="35"/>
  <c r="K31" i="35"/>
  <c r="J7" i="35"/>
  <c r="J8" i="35"/>
  <c r="J9" i="35"/>
  <c r="J10" i="35"/>
  <c r="J11" i="35"/>
  <c r="J12" i="35"/>
  <c r="J13" i="35"/>
  <c r="J14" i="35"/>
  <c r="K14" i="35"/>
  <c r="J15" i="35"/>
  <c r="K15" i="35"/>
  <c r="J16" i="35"/>
  <c r="K16" i="35"/>
  <c r="J17" i="35"/>
  <c r="K17" i="35"/>
  <c r="J18" i="35"/>
  <c r="K18" i="35"/>
  <c r="J19" i="35"/>
  <c r="K19" i="35"/>
  <c r="J20" i="35"/>
  <c r="K20" i="35"/>
  <c r="J21" i="35"/>
  <c r="K21" i="35"/>
  <c r="J22" i="35"/>
  <c r="K22" i="35"/>
  <c r="J23" i="35"/>
  <c r="K23" i="35"/>
  <c r="J24" i="35"/>
  <c r="K24" i="35"/>
  <c r="J25" i="35"/>
  <c r="K25" i="35"/>
  <c r="J26" i="35"/>
  <c r="K26" i="35"/>
  <c r="J27" i="35"/>
  <c r="K27" i="35"/>
  <c r="J28" i="35"/>
  <c r="K28" i="35"/>
  <c r="J29" i="35"/>
  <c r="K29" i="35"/>
  <c r="J30" i="35"/>
  <c r="K30" i="35"/>
  <c r="J31" i="35"/>
  <c r="F29" i="35"/>
  <c r="F30" i="35"/>
  <c r="F31" i="35"/>
  <c r="E30" i="35"/>
  <c r="E31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</calcChain>
</file>

<file path=xl/sharedStrings.xml><?xml version="1.0" encoding="utf-8"?>
<sst xmlns="http://schemas.openxmlformats.org/spreadsheetml/2006/main" count="361" uniqueCount="108">
  <si>
    <t>Year</t>
  </si>
  <si>
    <t>Notes:</t>
  </si>
  <si>
    <t>F2017</t>
  </si>
  <si>
    <t>F2018</t>
  </si>
  <si>
    <t>F2019</t>
  </si>
  <si>
    <t>UEC-POI</t>
  </si>
  <si>
    <t>$/MWh</t>
  </si>
  <si>
    <t>All solar cost values in $2017 Canadian dollars</t>
  </si>
  <si>
    <t>Residential</t>
  </si>
  <si>
    <t>Commercial</t>
  </si>
  <si>
    <t>Decline</t>
  </si>
  <si>
    <t>Source of initial solar costs: NREL U.S. Solar Photovoltaic System Cost Benchmark: Q1 2017</t>
  </si>
  <si>
    <t>100 MW</t>
  </si>
  <si>
    <t>5 MW</t>
  </si>
  <si>
    <t>Cranbrook</t>
  </si>
  <si>
    <t>(kWh/m2/day)</t>
  </si>
  <si>
    <t>Kansas City</t>
  </si>
  <si>
    <t>Insolation</t>
  </si>
  <si>
    <t>Decay</t>
  </si>
  <si>
    <t>Inflation</t>
  </si>
  <si>
    <t>Electricity prices grow at 1.0% or 0.0% real</t>
  </si>
  <si>
    <t>Utility-scale</t>
  </si>
  <si>
    <t>($US/Wdc)</t>
  </si>
  <si>
    <t>5.7 kW</t>
  </si>
  <si>
    <t>200 kW</t>
  </si>
  <si>
    <t>1-axis 100 MW</t>
  </si>
  <si>
    <t>Average</t>
  </si>
  <si>
    <t>MGS-0%</t>
  </si>
  <si>
    <t>MGS-1%</t>
  </si>
  <si>
    <t>LGS-0%</t>
  </si>
  <si>
    <t>LGS-1%</t>
  </si>
  <si>
    <t>1 MW</t>
  </si>
  <si>
    <t>Tier 2</t>
  </si>
  <si>
    <t>General Service</t>
  </si>
  <si>
    <t>MGS</t>
  </si>
  <si>
    <t>LGS</t>
  </si>
  <si>
    <t>(GWh/year)</t>
  </si>
  <si>
    <t>Number of customers</t>
  </si>
  <si>
    <t>MGS and LGS GWh/year include for both the Tier 1 and Tier 2 rates prior to the RDA decision to switch to flat rates</t>
  </si>
  <si>
    <t>Large Industrial</t>
  </si>
  <si>
    <t>1823B</t>
  </si>
  <si>
    <t>1823A/1827</t>
  </si>
  <si>
    <t>1823A-0%</t>
  </si>
  <si>
    <t>1823A-1%</t>
  </si>
  <si>
    <t>1823B-0%</t>
  </si>
  <si>
    <t>1823B-1%</t>
  </si>
  <si>
    <t>Sources: RRA response to IR.BCUC 2.203.1 and IR.BCUC 1.4.4</t>
  </si>
  <si>
    <t>Phoenix</t>
  </si>
  <si>
    <t>NREL 2017 Cost data</t>
  </si>
  <si>
    <t>NREL 2017 Cost declines</t>
  </si>
  <si>
    <t>Residential Tier 2 (0%)</t>
  </si>
  <si>
    <t>Residential Tier 2 (1%)</t>
  </si>
  <si>
    <t>%/year</t>
  </si>
  <si>
    <t>6-yr (%/year)</t>
  </si>
  <si>
    <t>3-yr (%/year)</t>
  </si>
  <si>
    <t>One year</t>
  </si>
  <si>
    <t>Two year</t>
  </si>
  <si>
    <t>Three year</t>
  </si>
  <si>
    <t>(MWh/year)</t>
  </si>
  <si>
    <t>New York</t>
  </si>
  <si>
    <t>Latitude Tilt</t>
  </si>
  <si>
    <t>Utility-Scale</t>
  </si>
  <si>
    <t>US$/MWh</t>
  </si>
  <si>
    <t>Exchange rate:</t>
  </si>
  <si>
    <t>($/MWh)</t>
  </si>
  <si>
    <t>Location</t>
  </si>
  <si>
    <t>Solar PV costs</t>
  </si>
  <si>
    <t>1 MW - Cranbrook - Low</t>
  </si>
  <si>
    <t>1 MW - Cranbrook - High</t>
  </si>
  <si>
    <t>5 MW - Cranbrook - Low</t>
  </si>
  <si>
    <t>5 MW - Cranbrook - High</t>
  </si>
  <si>
    <t>Large Industrial Rates - 100 MW PV</t>
  </si>
  <si>
    <t>100 MW - Cranbrook - Low</t>
  </si>
  <si>
    <t>100 MW - Cranbrook - High</t>
  </si>
  <si>
    <t>Large Industrial Rates - 5 MW</t>
  </si>
  <si>
    <t>Commercial LGS Rates - 1 MW PV</t>
  </si>
  <si>
    <t>Commercial MGS Rates - 200 kW</t>
  </si>
  <si>
    <t>200 kW - Cranbrook - Low</t>
  </si>
  <si>
    <t>200 kW - Cranbrook - High</t>
  </si>
  <si>
    <t>Target</t>
  </si>
  <si>
    <t>Cranbrook cost table</t>
  </si>
  <si>
    <t>NREL 2017 LCOE</t>
  </si>
  <si>
    <t>Small decline</t>
  </si>
  <si>
    <t>Large decline</t>
  </si>
  <si>
    <t>Cranbrook price projection table for 2040 (see section 2 of report)</t>
  </si>
  <si>
    <t>The "decay" value alters the decline in price in order to hit the target value in 2040</t>
  </si>
  <si>
    <t>Size (MW)</t>
  </si>
  <si>
    <t>C.F.</t>
  </si>
  <si>
    <t>Hours</t>
  </si>
  <si>
    <t>Customers by rate class</t>
  </si>
  <si>
    <t>Average customer use by rate class/category</t>
  </si>
  <si>
    <t>Generation by solar facility size</t>
  </si>
  <si>
    <t>5.7 kW - Cranbrook - High</t>
  </si>
  <si>
    <t>5.7 kW - Cranbrook - Low</t>
  </si>
  <si>
    <t>Annual energy by rate class ang generating facility</t>
  </si>
  <si>
    <t>Cranbrook future solar PV costs</t>
  </si>
  <si>
    <t>High in 2040</t>
  </si>
  <si>
    <t>Low in 2040</t>
  </si>
  <si>
    <t>High in 2025</t>
  </si>
  <si>
    <t>High in 2030</t>
  </si>
  <si>
    <t>High in 2035</t>
  </si>
  <si>
    <t>Low in 2025</t>
  </si>
  <si>
    <t>Low in 2030</t>
  </si>
  <si>
    <t>Low in 2035</t>
  </si>
  <si>
    <t>Annual energy consumption by rate class</t>
  </si>
  <si>
    <t>Residential Tier 1 (0%)</t>
  </si>
  <si>
    <t>Residential Tier 1 (1%)</t>
  </si>
  <si>
    <t>Residential Rates - 5.7 kW PV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</si>
</sst>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sz val="11"/>
      <color rgb="FF0061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9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8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Font="1" applyFill="1"/>
    <xf numFmtId="9" fontId="0" fillId="0" borderId="0" xfId="0" applyNumberFormat="1" applyFill="1" applyBorder="1"/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wrapText="1"/>
    </xf>
    <xf numFmtId="3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8" xfId="0" applyFill="1" applyBorder="1"/>
    <xf numFmtId="1" fontId="0" fillId="0" borderId="4" xfId="0" applyNumberFormat="1" applyFill="1" applyBorder="1"/>
    <xf numFmtId="165" fontId="0" fillId="0" borderId="9" xfId="0" applyNumberFormat="1" applyFill="1" applyBorder="1"/>
    <xf numFmtId="0" fontId="0" fillId="0" borderId="19" xfId="0" applyBorder="1"/>
    <xf numFmtId="1" fontId="0" fillId="0" borderId="2" xfId="0" applyNumberFormat="1" applyBorder="1"/>
    <xf numFmtId="10" fontId="0" fillId="0" borderId="10" xfId="0" applyNumberFormat="1" applyBorder="1"/>
    <xf numFmtId="165" fontId="0" fillId="0" borderId="10" xfId="0" applyNumberFormat="1" applyBorder="1"/>
    <xf numFmtId="1" fontId="0" fillId="0" borderId="2" xfId="0" applyNumberFormat="1" applyFill="1" applyBorder="1"/>
    <xf numFmtId="0" fontId="0" fillId="0" borderId="14" xfId="0" applyFill="1" applyBorder="1"/>
    <xf numFmtId="1" fontId="0" fillId="0" borderId="11" xfId="0" applyNumberFormat="1" applyFill="1" applyBorder="1"/>
    <xf numFmtId="10" fontId="0" fillId="0" borderId="13" xfId="0" applyNumberFormat="1" applyBorder="1"/>
    <xf numFmtId="165" fontId="0" fillId="0" borderId="13" xfId="0" applyNumberFormat="1" applyBorder="1"/>
    <xf numFmtId="0" fontId="2" fillId="0" borderId="4" xfId="0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9" fontId="0" fillId="0" borderId="13" xfId="0" applyNumberForma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Fill="1" applyBorder="1"/>
    <xf numFmtId="10" fontId="0" fillId="0" borderId="10" xfId="0" applyNumberFormat="1" applyFill="1" applyBorder="1"/>
    <xf numFmtId="165" fontId="0" fillId="0" borderId="10" xfId="0" applyNumberFormat="1" applyFill="1" applyBorder="1"/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2" fontId="0" fillId="0" borderId="3" xfId="0" applyNumberFormat="1" applyBorder="1"/>
    <xf numFmtId="2" fontId="0" fillId="4" borderId="3" xfId="0" applyNumberFormat="1" applyFill="1" applyBorder="1"/>
    <xf numFmtId="2" fontId="0" fillId="0" borderId="5" xfId="0" applyNumberFormat="1" applyBorder="1"/>
    <xf numFmtId="2" fontId="0" fillId="4" borderId="5" xfId="0" applyNumberFormat="1" applyFill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0" fontId="2" fillId="0" borderId="11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2" fontId="2" fillId="0" borderId="24" xfId="0" applyNumberFormat="1" applyFont="1" applyBorder="1"/>
    <xf numFmtId="0" fontId="2" fillId="0" borderId="17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9" fontId="13" fillId="5" borderId="1" xfId="0" applyNumberFormat="1" applyFont="1" applyFill="1" applyBorder="1"/>
    <xf numFmtId="10" fontId="0" fillId="5" borderId="1" xfId="0" applyNumberFormat="1" applyFill="1" applyBorder="1"/>
    <xf numFmtId="10" fontId="0" fillId="5" borderId="7" xfId="0" applyNumberFormat="1" applyFill="1" applyBorder="1"/>
    <xf numFmtId="0" fontId="2" fillId="5" borderId="6" xfId="0" applyFont="1" applyFill="1" applyBorder="1" applyAlignment="1">
      <alignment horizontal="center" wrapText="1"/>
    </xf>
    <xf numFmtId="9" fontId="0" fillId="5" borderId="1" xfId="0" applyNumberFormat="1" applyFill="1" applyBorder="1"/>
    <xf numFmtId="0" fontId="11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/>
    <xf numFmtId="0" fontId="0" fillId="0" borderId="0" xfId="0" applyFill="1" applyAlignment="1">
      <alignment horizontal="right"/>
    </xf>
    <xf numFmtId="9" fontId="0" fillId="0" borderId="5" xfId="0" applyNumberFormat="1" applyBorder="1"/>
    <xf numFmtId="9" fontId="0" fillId="0" borderId="9" xfId="0" applyNumberFormat="1" applyBorder="1"/>
    <xf numFmtId="9" fontId="0" fillId="0" borderId="3" xfId="0" applyNumberFormat="1" applyBorder="1"/>
    <xf numFmtId="9" fontId="0" fillId="0" borderId="10" xfId="0" applyNumberFormat="1" applyBorder="1"/>
    <xf numFmtId="9" fontId="0" fillId="0" borderId="12" xfId="0" applyNumberFormat="1" applyBorder="1"/>
    <xf numFmtId="2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" fontId="0" fillId="0" borderId="3" xfId="0" applyNumberFormat="1" applyBorder="1"/>
    <xf numFmtId="0" fontId="0" fillId="0" borderId="3" xfId="0" applyBorder="1" applyAlignment="1">
      <alignment horizontal="right"/>
    </xf>
    <xf numFmtId="1" fontId="0" fillId="4" borderId="3" xfId="0" applyNumberFormat="1" applyFill="1" applyBorder="1"/>
    <xf numFmtId="1" fontId="0" fillId="0" borderId="10" xfId="0" applyNumberFormat="1" applyBorder="1"/>
    <xf numFmtId="0" fontId="0" fillId="0" borderId="2" xfId="0" applyFont="1" applyFill="1" applyBorder="1" applyAlignment="1">
      <alignment horizontal="center"/>
    </xf>
    <xf numFmtId="1" fontId="0" fillId="0" borderId="12" xfId="0" applyNumberFormat="1" applyBorder="1"/>
    <xf numFmtId="1" fontId="0" fillId="4" borderId="12" xfId="0" applyNumberFormat="1" applyFill="1" applyBorder="1"/>
    <xf numFmtId="1" fontId="0" fillId="0" borderId="13" xfId="0" applyNumberFormat="1" applyBorder="1"/>
    <xf numFmtId="0" fontId="0" fillId="0" borderId="15" xfId="0" applyFont="1" applyBorder="1" applyAlignment="1">
      <alignment horizontal="center"/>
    </xf>
    <xf numFmtId="1" fontId="0" fillId="0" borderId="16" xfId="0" applyNumberFormat="1" applyBorder="1"/>
    <xf numFmtId="1" fontId="0" fillId="4" borderId="16" xfId="0" applyNumberFormat="1" applyFill="1" applyBorder="1"/>
    <xf numFmtId="1" fontId="0" fillId="0" borderId="17" xfId="0" applyNumberFormat="1" applyBorder="1"/>
    <xf numFmtId="1" fontId="0" fillId="3" borderId="2" xfId="0" applyNumberFormat="1" applyFill="1" applyBorder="1"/>
    <xf numFmtId="2" fontId="2" fillId="0" borderId="4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9" fontId="0" fillId="0" borderId="3" xfId="0" applyNumberFormat="1" applyFont="1" applyBorder="1" applyAlignment="1">
      <alignment horizontal="right"/>
    </xf>
    <xf numFmtId="1" fontId="2" fillId="0" borderId="0" xfId="0" applyNumberFormat="1" applyFont="1" applyFill="1" applyBorder="1"/>
    <xf numFmtId="1" fontId="2" fillId="0" borderId="0" xfId="0" applyNumberFormat="1" applyFont="1" applyBorder="1"/>
    <xf numFmtId="4" fontId="0" fillId="0" borderId="0" xfId="0" applyNumberForma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2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2" fontId="0" fillId="0" borderId="16" xfId="0" applyNumberFormat="1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  <xf numFmtId="0" fontId="13" fillId="0" borderId="4" xfId="0" applyFont="1" applyBorder="1"/>
    <xf numFmtId="0" fontId="11" fillId="0" borderId="5" xfId="0" applyFont="1" applyBorder="1" applyAlignment="1">
      <alignment horizontal="center"/>
    </xf>
    <xf numFmtId="3" fontId="0" fillId="0" borderId="12" xfId="0" applyNumberFormat="1" applyBorder="1"/>
    <xf numFmtId="3" fontId="0" fillId="0" borderId="16" xfId="0" applyNumberFormat="1" applyFont="1" applyBorder="1" applyAlignment="1">
      <alignment horizontal="center" wrapText="1"/>
    </xf>
    <xf numFmtId="3" fontId="0" fillId="0" borderId="16" xfId="0" applyNumberForma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17" xfId="0" applyNumberFormat="1" applyBorder="1"/>
    <xf numFmtId="9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9" fontId="0" fillId="0" borderId="16" xfId="0" applyNumberFormat="1" applyFont="1" applyBorder="1" applyAlignment="1">
      <alignment horizontal="right"/>
    </xf>
    <xf numFmtId="9" fontId="0" fillId="0" borderId="17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3" fontId="0" fillId="0" borderId="10" xfId="0" applyNumberFormat="1" applyBorder="1"/>
    <xf numFmtId="3" fontId="0" fillId="0" borderId="13" xfId="0" applyNumberFormat="1" applyBorder="1"/>
    <xf numFmtId="3" fontId="0" fillId="0" borderId="17" xfId="0" applyNumberFormat="1" applyBorder="1"/>
    <xf numFmtId="4" fontId="0" fillId="0" borderId="16" xfId="0" applyNumberFormat="1" applyFont="1" applyBorder="1" applyAlignment="1">
      <alignment horizontal="center" wrapText="1"/>
    </xf>
    <xf numFmtId="4" fontId="0" fillId="0" borderId="17" xfId="0" applyNumberForma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695">
    <cellStyle name="Comma 2" xfId="3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Good 2" xfId="3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Normal" xfId="0" builtinId="0"/>
    <cellStyle name="Normal 10 2 2" xfId="175"/>
    <cellStyle name="Normal 2" xfId="37"/>
    <cellStyle name="Normal 3" xfId="40"/>
    <cellStyle name="Normal 3 2" xfId="41"/>
    <cellStyle name="Normal 4" xfId="42"/>
    <cellStyle name="Normal 5" xfId="43"/>
    <cellStyle name="Normal 6" xfId="176"/>
    <cellStyle name="Normal 6 2" xfId="177"/>
    <cellStyle name="Normal 7" xfId="178"/>
    <cellStyle name="Normal 8" xfId="174"/>
    <cellStyle name="Normal 8 2" xfId="35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8638340585894"/>
          <c:y val="0.139684709927099"/>
          <c:w val="0.868260664253816"/>
          <c:h val="0.72327137040581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'5.7kW'!$J$3</c:f>
              <c:strCache>
                <c:ptCount val="1"/>
                <c:pt idx="0">
                  <c:v>Residential Tier 2 (1%)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'5.7kW'!$B$6:$B$31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'5.7kW'!$J$6:$J$31</c:f>
              <c:numCache>
                <c:formatCode>0</c:formatCode>
                <c:ptCount val="26"/>
                <c:pt idx="0">
                  <c:v>140.8995</c:v>
                </c:pt>
                <c:pt idx="1">
                  <c:v>143.71749</c:v>
                </c:pt>
                <c:pt idx="2">
                  <c:v>145.87325235</c:v>
                </c:pt>
                <c:pt idx="3">
                  <c:v>147.3319848735</c:v>
                </c:pt>
                <c:pt idx="4">
                  <c:v>148.215976782741</c:v>
                </c:pt>
                <c:pt idx="5">
                  <c:v>149.1052726434374</c:v>
                </c:pt>
                <c:pt idx="6">
                  <c:v>149.9999042792981</c:v>
                </c:pt>
                <c:pt idx="7">
                  <c:v>150.8999037049739</c:v>
                </c:pt>
                <c:pt idx="8">
                  <c:v>151.8053031272037</c:v>
                </c:pt>
                <c:pt idx="9">
                  <c:v>153.3233561584757</c:v>
                </c:pt>
                <c:pt idx="10">
                  <c:v>154.8565897200605</c:v>
                </c:pt>
                <c:pt idx="11">
                  <c:v>156.4051556172611</c:v>
                </c:pt>
                <c:pt idx="12">
                  <c:v>157.9692071734337</c:v>
                </c:pt>
                <c:pt idx="13">
                  <c:v>159.5488992451681</c:v>
                </c:pt>
                <c:pt idx="14">
                  <c:v>161.1443882376198</c:v>
                </c:pt>
                <c:pt idx="15">
                  <c:v>162.7558321199959</c:v>
                </c:pt>
                <c:pt idx="16">
                  <c:v>164.3833904411959</c:v>
                </c:pt>
                <c:pt idx="17">
                  <c:v>166.0272243456079</c:v>
                </c:pt>
                <c:pt idx="18">
                  <c:v>167.687496589064</c:v>
                </c:pt>
                <c:pt idx="19">
                  <c:v>169.3643715549546</c:v>
                </c:pt>
                <c:pt idx="20">
                  <c:v>171.0580152705041</c:v>
                </c:pt>
                <c:pt idx="21">
                  <c:v>172.7685954232092</c:v>
                </c:pt>
                <c:pt idx="22">
                  <c:v>174.4962813774413</c:v>
                </c:pt>
                <c:pt idx="23">
                  <c:v>176.2412441912157</c:v>
                </c:pt>
                <c:pt idx="24">
                  <c:v>178.0036566331278</c:v>
                </c:pt>
                <c:pt idx="25">
                  <c:v>179.7836931994591</c:v>
                </c:pt>
              </c:numCache>
            </c:numRef>
          </c:val>
        </c:ser>
        <c:ser>
          <c:idx val="8"/>
          <c:order val="1"/>
          <c:tx>
            <c:strRef>
              <c:f>'5.7kW'!$H$3</c:f>
              <c:strCache>
                <c:ptCount val="1"/>
                <c:pt idx="0">
                  <c:v>Residential Tier 2 (0%)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'5.7kW'!$B$6:$B$31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'5.7kW'!$H$6:$H$31</c:f>
              <c:numCache>
                <c:formatCode>0</c:formatCode>
                <c:ptCount val="26"/>
                <c:pt idx="0">
                  <c:v>140.8995</c:v>
                </c:pt>
                <c:pt idx="1">
                  <c:v>143.71749</c:v>
                </c:pt>
                <c:pt idx="2">
                  <c:v>145.87325235</c:v>
                </c:pt>
                <c:pt idx="3">
                  <c:v>147.3319848735</c:v>
                </c:pt>
                <c:pt idx="4">
                  <c:v>148.215976782741</c:v>
                </c:pt>
                <c:pt idx="5">
                  <c:v>149.1052726434374</c:v>
                </c:pt>
                <c:pt idx="6">
                  <c:v>149.9999042792981</c:v>
                </c:pt>
                <c:pt idx="7">
                  <c:v>150.8999037049739</c:v>
                </c:pt>
                <c:pt idx="8">
                  <c:v>151.8053031272037</c:v>
                </c:pt>
                <c:pt idx="9">
                  <c:v>151.8053031272037</c:v>
                </c:pt>
                <c:pt idx="10">
                  <c:v>151.8053031272037</c:v>
                </c:pt>
                <c:pt idx="11">
                  <c:v>151.8053031272037</c:v>
                </c:pt>
                <c:pt idx="12">
                  <c:v>151.8053031272037</c:v>
                </c:pt>
                <c:pt idx="13">
                  <c:v>151.8053031272037</c:v>
                </c:pt>
                <c:pt idx="14">
                  <c:v>151.8053031272037</c:v>
                </c:pt>
                <c:pt idx="15">
                  <c:v>151.8053031272037</c:v>
                </c:pt>
                <c:pt idx="16">
                  <c:v>151.8053031272037</c:v>
                </c:pt>
                <c:pt idx="17">
                  <c:v>151.8053031272037</c:v>
                </c:pt>
                <c:pt idx="18">
                  <c:v>151.8053031272037</c:v>
                </c:pt>
                <c:pt idx="19">
                  <c:v>151.8053031272037</c:v>
                </c:pt>
                <c:pt idx="20">
                  <c:v>151.8053031272037</c:v>
                </c:pt>
                <c:pt idx="21">
                  <c:v>151.8053031272037</c:v>
                </c:pt>
                <c:pt idx="22">
                  <c:v>151.8053031272037</c:v>
                </c:pt>
                <c:pt idx="23">
                  <c:v>151.8053031272037</c:v>
                </c:pt>
                <c:pt idx="24">
                  <c:v>151.8053031272037</c:v>
                </c:pt>
                <c:pt idx="25">
                  <c:v>151.8053031272037</c:v>
                </c:pt>
              </c:numCache>
            </c:numRef>
          </c:val>
        </c:ser>
        <c:ser>
          <c:idx val="2"/>
          <c:order val="4"/>
          <c:tx>
            <c:strRef>
              <c:f>'5.7kW'!$L$3:$M$3</c:f>
              <c:strCache>
                <c:ptCount val="1"/>
                <c:pt idx="0">
                  <c:v>Residential Tier 1 (0%)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'5.7kW'!$L$6:$L$31</c:f>
              <c:numCache>
                <c:formatCode>0</c:formatCode>
                <c:ptCount val="26"/>
                <c:pt idx="0">
                  <c:v>94.5945</c:v>
                </c:pt>
                <c:pt idx="1">
                  <c:v>96.48639000000001</c:v>
                </c:pt>
                <c:pt idx="2">
                  <c:v>97.93368585</c:v>
                </c:pt>
                <c:pt idx="3">
                  <c:v>98.9130227085</c:v>
                </c:pt>
                <c:pt idx="4">
                  <c:v>99.506500844751</c:v>
                </c:pt>
                <c:pt idx="5">
                  <c:v>100.1035398498195</c:v>
                </c:pt>
                <c:pt idx="6">
                  <c:v>100.7041610889184</c:v>
                </c:pt>
                <c:pt idx="7">
                  <c:v>101.3083860554519</c:v>
                </c:pt>
                <c:pt idx="8">
                  <c:v>101.9162363717846</c:v>
                </c:pt>
                <c:pt idx="9">
                  <c:v>101.9162363717846</c:v>
                </c:pt>
                <c:pt idx="10">
                  <c:v>101.9162363717846</c:v>
                </c:pt>
                <c:pt idx="11">
                  <c:v>101.9162363717846</c:v>
                </c:pt>
                <c:pt idx="12">
                  <c:v>101.9162363717846</c:v>
                </c:pt>
                <c:pt idx="13">
                  <c:v>101.9162363717846</c:v>
                </c:pt>
                <c:pt idx="14">
                  <c:v>101.9162363717846</c:v>
                </c:pt>
                <c:pt idx="15">
                  <c:v>101.9162363717846</c:v>
                </c:pt>
                <c:pt idx="16">
                  <c:v>101.9162363717846</c:v>
                </c:pt>
                <c:pt idx="17">
                  <c:v>101.9162363717846</c:v>
                </c:pt>
                <c:pt idx="18">
                  <c:v>101.9162363717846</c:v>
                </c:pt>
                <c:pt idx="19">
                  <c:v>101.9162363717846</c:v>
                </c:pt>
                <c:pt idx="20">
                  <c:v>101.9162363717846</c:v>
                </c:pt>
                <c:pt idx="21">
                  <c:v>101.9162363717846</c:v>
                </c:pt>
                <c:pt idx="22">
                  <c:v>101.9162363717846</c:v>
                </c:pt>
                <c:pt idx="23">
                  <c:v>101.9162363717846</c:v>
                </c:pt>
                <c:pt idx="24">
                  <c:v>101.9162363717846</c:v>
                </c:pt>
                <c:pt idx="25">
                  <c:v>101.9162363717846</c:v>
                </c:pt>
              </c:numCache>
            </c:numRef>
          </c:val>
        </c:ser>
        <c:ser>
          <c:idx val="3"/>
          <c:order val="5"/>
          <c:tx>
            <c:strRef>
              <c:f>'5.7kW'!$N$3:$O$3</c:f>
              <c:strCache>
                <c:ptCount val="1"/>
                <c:pt idx="0">
                  <c:v>Residential Tier 1 (1%)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val>
            <c:numRef>
              <c:f>'5.7kW'!$N$6:$N$31</c:f>
              <c:numCache>
                <c:formatCode>0</c:formatCode>
                <c:ptCount val="26"/>
                <c:pt idx="0">
                  <c:v>94.5945</c:v>
                </c:pt>
                <c:pt idx="1">
                  <c:v>96.48639000000001</c:v>
                </c:pt>
                <c:pt idx="2">
                  <c:v>97.93368585</c:v>
                </c:pt>
                <c:pt idx="3">
                  <c:v>98.9130227085</c:v>
                </c:pt>
                <c:pt idx="4">
                  <c:v>99.506500844751</c:v>
                </c:pt>
                <c:pt idx="5">
                  <c:v>100.1035398498195</c:v>
                </c:pt>
                <c:pt idx="6">
                  <c:v>100.7041610889184</c:v>
                </c:pt>
                <c:pt idx="7">
                  <c:v>101.3083860554519</c:v>
                </c:pt>
                <c:pt idx="8">
                  <c:v>101.9162363717846</c:v>
                </c:pt>
                <c:pt idx="9">
                  <c:v>102.9353987355025</c:v>
                </c:pt>
                <c:pt idx="10">
                  <c:v>103.9647527228575</c:v>
                </c:pt>
                <c:pt idx="11">
                  <c:v>105.0044002500861</c:v>
                </c:pt>
                <c:pt idx="12">
                  <c:v>106.054444252587</c:v>
                </c:pt>
                <c:pt idx="13">
                  <c:v>107.1149886951128</c:v>
                </c:pt>
                <c:pt idx="14">
                  <c:v>108.186138582064</c:v>
                </c:pt>
                <c:pt idx="15">
                  <c:v>109.2679999678846</c:v>
                </c:pt>
                <c:pt idx="16">
                  <c:v>110.3606799675635</c:v>
                </c:pt>
                <c:pt idx="17">
                  <c:v>111.4642867672391</c:v>
                </c:pt>
                <c:pt idx="18">
                  <c:v>112.5789296349115</c:v>
                </c:pt>
                <c:pt idx="19">
                  <c:v>113.7047189312606</c:v>
                </c:pt>
                <c:pt idx="20">
                  <c:v>114.8417661205732</c:v>
                </c:pt>
                <c:pt idx="21">
                  <c:v>115.9901837817789</c:v>
                </c:pt>
                <c:pt idx="22">
                  <c:v>117.1500856195967</c:v>
                </c:pt>
                <c:pt idx="23">
                  <c:v>118.3215864757927</c:v>
                </c:pt>
                <c:pt idx="24">
                  <c:v>119.5048023405506</c:v>
                </c:pt>
                <c:pt idx="25">
                  <c:v>120.6998503639561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3189680"/>
        <c:axId val="-1373183952"/>
      </c:barChart>
      <c:lineChart>
        <c:grouping val="standard"/>
        <c:varyColors val="0"/>
        <c:ser>
          <c:idx val="0"/>
          <c:order val="2"/>
          <c:tx>
            <c:strRef>
              <c:f>'5.7kW'!$C$3:$D$3</c:f>
              <c:strCache>
                <c:ptCount val="1"/>
                <c:pt idx="0">
                  <c:v>5.7 kW - Cranbrook - High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'5.7kW'!$C$6:$C$31</c:f>
              <c:numCache>
                <c:formatCode>0</c:formatCode>
                <c:ptCount val="26"/>
                <c:pt idx="0">
                  <c:v>215.7865168539326</c:v>
                </c:pt>
                <c:pt idx="1">
                  <c:v>202.5543887708018</c:v>
                </c:pt>
                <c:pt idx="2">
                  <c:v>191.0652154389363</c:v>
                </c:pt>
                <c:pt idx="3">
                  <c:v>181.0405362066058</c:v>
                </c:pt>
                <c:pt idx="4">
                  <c:v>172.2542283383752</c:v>
                </c:pt>
                <c:pt idx="5">
                  <c:v>164.5213315519124</c:v>
                </c:pt>
                <c:pt idx="6">
                  <c:v>157.6895138269741</c:v>
                </c:pt>
                <c:pt idx="7">
                  <c:v>151.6324994870702</c:v>
                </c:pt>
                <c:pt idx="8">
                  <c:v>146.2449680882691</c:v>
                </c:pt>
                <c:pt idx="9">
                  <c:v>141.4385650536581</c:v>
                </c:pt>
                <c:pt idx="10">
                  <c:v>137.1387593893427</c:v>
                </c:pt>
                <c:pt idx="11">
                  <c:v>133.2823517459883</c:v>
                </c:pt>
                <c:pt idx="12">
                  <c:v>129.8154854048113</c:v>
                </c:pt>
                <c:pt idx="13">
                  <c:v>126.6920488718308</c:v>
                </c:pt>
                <c:pt idx="14">
                  <c:v>123.8723854110221</c:v>
                </c:pt>
                <c:pt idx="15">
                  <c:v>121.3222446649953</c:v>
                </c:pt>
                <c:pt idx="16">
                  <c:v>119.0119263595387</c:v>
                </c:pt>
                <c:pt idx="17">
                  <c:v>116.9155772906958</c:v>
                </c:pt>
                <c:pt idx="18">
                  <c:v>115.0106113019706</c:v>
                </c:pt>
                <c:pt idx="19">
                  <c:v>113.2772284640841</c:v>
                </c:pt>
                <c:pt idx="20">
                  <c:v>111.6980146732331</c:v>
                </c:pt>
                <c:pt idx="21">
                  <c:v>110.2576067553639</c:v>
                </c:pt>
                <c:pt idx="22">
                  <c:v>108.9424111767109</c:v>
                </c:pt>
                <c:pt idx="23">
                  <c:v>107.7403668180989</c:v>
                </c:pt>
                <c:pt idx="24">
                  <c:v>106.6407441245591</c:v>
                </c:pt>
                <c:pt idx="25">
                  <c:v>105.6339744074454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'5.7kW'!$E$3:$F$3</c:f>
              <c:strCache>
                <c:ptCount val="1"/>
                <c:pt idx="0">
                  <c:v>5.7 kW - Cranbrook - Low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'5.7kW'!$E$6:$E$31</c:f>
              <c:numCache>
                <c:formatCode>0</c:formatCode>
                <c:ptCount val="26"/>
                <c:pt idx="0">
                  <c:v>215.7865168539326</c:v>
                </c:pt>
                <c:pt idx="1">
                  <c:v>202.1538486774746</c:v>
                </c:pt>
                <c:pt idx="2">
                  <c:v>189.9827026302457</c:v>
                </c:pt>
                <c:pt idx="3">
                  <c:v>179.0819515674833</c:v>
                </c:pt>
                <c:pt idx="4">
                  <c:v>169.2895981440265</c:v>
                </c:pt>
                <c:pt idx="5">
                  <c:v>160.4677731971573</c:v>
                </c:pt>
                <c:pt idx="6">
                  <c:v>152.4986803224268</c:v>
                </c:pt>
                <c:pt idx="7">
                  <c:v>145.2812924021594</c:v>
                </c:pt>
                <c:pt idx="8">
                  <c:v>138.728648636294</c:v>
                </c:pt>
                <c:pt idx="9">
                  <c:v>132.7656333862115</c:v>
                </c:pt>
                <c:pt idx="10">
                  <c:v>127.3271433580407</c:v>
                </c:pt>
                <c:pt idx="11">
                  <c:v>122.3565691600215</c:v>
                </c:pt>
                <c:pt idx="12">
                  <c:v>117.8045324357641</c:v>
                </c:pt>
                <c:pt idx="13">
                  <c:v>113.627831624217</c:v>
                </c:pt>
                <c:pt idx="14">
                  <c:v>109.7885586968571</c:v>
                </c:pt>
                <c:pt idx="15">
                  <c:v>106.2533565543604</c:v>
                </c:pt>
                <c:pt idx="16">
                  <c:v>102.9927925704469</c:v>
                </c:pt>
                <c:pt idx="17">
                  <c:v>99.98082838688335</c:v>
                </c:pt>
                <c:pt idx="18">
                  <c:v>97.19436974937013</c:v>
                </c:pt>
                <c:pt idx="19">
                  <c:v>94.61288312850439</c:v>
                </c:pt>
                <c:pt idx="20">
                  <c:v>92.2180682473959</c:v>
                </c:pt>
                <c:pt idx="21">
                  <c:v>89.99357755769536</c:v>
                </c:pt>
                <c:pt idx="22">
                  <c:v>87.92477526231593</c:v>
                </c:pt>
                <c:pt idx="23">
                  <c:v>85.9985297493098</c:v>
                </c:pt>
                <c:pt idx="24">
                  <c:v>84.20303433488112</c:v>
                </c:pt>
                <c:pt idx="25">
                  <c:v>82.52765205992961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3189680"/>
        <c:axId val="-1373183952"/>
      </c:lineChart>
      <c:catAx>
        <c:axId val="-13731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Year</a:t>
                </a:r>
              </a:p>
            </c:rich>
          </c:tx>
          <c:layout>
            <c:manualLayout>
              <c:xMode val="edge"/>
              <c:yMode val="edge"/>
              <c:x val="0.458702334844214"/>
              <c:y val="0.9192750087138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373183952"/>
        <c:crosses val="autoZero"/>
        <c:auto val="1"/>
        <c:lblAlgn val="ctr"/>
        <c:lblOffset val="100"/>
        <c:tickLblSkip val="2"/>
        <c:noMultiLvlLbl val="0"/>
      </c:catAx>
      <c:valAx>
        <c:axId val="-1373183952"/>
        <c:scaling>
          <c:orientation val="minMax"/>
          <c:min val="50.0"/>
        </c:scaling>
        <c:delete val="0"/>
        <c:axPos val="l"/>
        <c:majorGridlines/>
        <c:title>
          <c:tx>
            <c:rich>
              <a:bodyPr rot="-5400000" vert="horz" lIns="0" anchor="t" anchorCtr="1">
                <a:noAutofit/>
              </a:bodyPr>
              <a:lstStyle/>
              <a:p>
                <a:pPr>
                  <a:defRPr sz="1800"/>
                </a:pPr>
                <a:r>
                  <a:rPr lang="en-US" sz="1800"/>
                  <a:t>$/MWh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37318968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 b="1" i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5238137243994"/>
          <c:y val="0.139684709927099"/>
          <c:w val="0.870600653956622"/>
          <c:h val="0.72327137040581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'200kW'!$J$3</c:f>
              <c:strCache>
                <c:ptCount val="1"/>
                <c:pt idx="0">
                  <c:v>MGS-1%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'200kW'!$B$6:$B$31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'200kW'!$J$6:$J$31</c:f>
              <c:numCache>
                <c:formatCode>0</c:formatCode>
                <c:ptCount val="26"/>
                <c:pt idx="0">
                  <c:v>97.02000000000001</c:v>
                </c:pt>
                <c:pt idx="1">
                  <c:v>98.9604</c:v>
                </c:pt>
                <c:pt idx="2">
                  <c:v>100.444806</c:v>
                </c:pt>
                <c:pt idx="3">
                  <c:v>101.44925406</c:v>
                </c:pt>
                <c:pt idx="4">
                  <c:v>102.05794958436</c:v>
                </c:pt>
                <c:pt idx="5">
                  <c:v>102.6702972818662</c:v>
                </c:pt>
                <c:pt idx="6">
                  <c:v>103.2863190655574</c:v>
                </c:pt>
                <c:pt idx="7">
                  <c:v>103.9060369799507</c:v>
                </c:pt>
                <c:pt idx="8">
                  <c:v>104.5294732018304</c:v>
                </c:pt>
                <c:pt idx="9">
                  <c:v>105.5747679338487</c:v>
                </c:pt>
                <c:pt idx="10">
                  <c:v>106.6305156131872</c:v>
                </c:pt>
                <c:pt idx="11">
                  <c:v>107.6968207693191</c:v>
                </c:pt>
                <c:pt idx="12">
                  <c:v>108.7737889770123</c:v>
                </c:pt>
                <c:pt idx="13">
                  <c:v>109.8615268667824</c:v>
                </c:pt>
                <c:pt idx="14">
                  <c:v>110.9601421354502</c:v>
                </c:pt>
                <c:pt idx="15">
                  <c:v>112.0697435568047</c:v>
                </c:pt>
                <c:pt idx="16">
                  <c:v>113.1904409923728</c:v>
                </c:pt>
                <c:pt idx="17">
                  <c:v>114.3223454022965</c:v>
                </c:pt>
                <c:pt idx="18">
                  <c:v>115.4655688563195</c:v>
                </c:pt>
                <c:pt idx="19">
                  <c:v>116.6202245448827</c:v>
                </c:pt>
                <c:pt idx="20">
                  <c:v>117.7864267903315</c:v>
                </c:pt>
                <c:pt idx="21">
                  <c:v>118.9642910582348</c:v>
                </c:pt>
                <c:pt idx="22">
                  <c:v>120.1539339688172</c:v>
                </c:pt>
                <c:pt idx="23">
                  <c:v>121.3554733085054</c:v>
                </c:pt>
                <c:pt idx="24">
                  <c:v>122.5690280415904</c:v>
                </c:pt>
                <c:pt idx="25">
                  <c:v>123.7947183220063</c:v>
                </c:pt>
              </c:numCache>
            </c:numRef>
          </c:val>
        </c:ser>
        <c:ser>
          <c:idx val="8"/>
          <c:order val="1"/>
          <c:tx>
            <c:strRef>
              <c:f>'200kW'!$H$3</c:f>
              <c:strCache>
                <c:ptCount val="1"/>
                <c:pt idx="0">
                  <c:v>MGS-0%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'200kW'!$B$6:$B$31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'200kW'!$H$6:$H$31</c:f>
              <c:numCache>
                <c:formatCode>0</c:formatCode>
                <c:ptCount val="26"/>
                <c:pt idx="0">
                  <c:v>97.02000000000001</c:v>
                </c:pt>
                <c:pt idx="1">
                  <c:v>98.9604</c:v>
                </c:pt>
                <c:pt idx="2">
                  <c:v>100.444806</c:v>
                </c:pt>
                <c:pt idx="3">
                  <c:v>101.44925406</c:v>
                </c:pt>
                <c:pt idx="4">
                  <c:v>102.05794958436</c:v>
                </c:pt>
                <c:pt idx="5">
                  <c:v>102.6702972818662</c:v>
                </c:pt>
                <c:pt idx="6">
                  <c:v>103.2863190655574</c:v>
                </c:pt>
                <c:pt idx="7">
                  <c:v>103.9060369799507</c:v>
                </c:pt>
                <c:pt idx="8">
                  <c:v>104.5294732018304</c:v>
                </c:pt>
                <c:pt idx="9">
                  <c:v>104.5294732018304</c:v>
                </c:pt>
                <c:pt idx="10">
                  <c:v>104.5294732018304</c:v>
                </c:pt>
                <c:pt idx="11">
                  <c:v>104.5294732018304</c:v>
                </c:pt>
                <c:pt idx="12">
                  <c:v>104.5294732018304</c:v>
                </c:pt>
                <c:pt idx="13">
                  <c:v>104.5294732018304</c:v>
                </c:pt>
                <c:pt idx="14">
                  <c:v>104.5294732018304</c:v>
                </c:pt>
                <c:pt idx="15">
                  <c:v>104.5294732018304</c:v>
                </c:pt>
                <c:pt idx="16">
                  <c:v>104.5294732018304</c:v>
                </c:pt>
                <c:pt idx="17">
                  <c:v>104.5294732018304</c:v>
                </c:pt>
                <c:pt idx="18">
                  <c:v>104.5294732018304</c:v>
                </c:pt>
                <c:pt idx="19">
                  <c:v>104.5294732018304</c:v>
                </c:pt>
                <c:pt idx="20">
                  <c:v>104.5294732018304</c:v>
                </c:pt>
                <c:pt idx="21">
                  <c:v>104.5294732018304</c:v>
                </c:pt>
                <c:pt idx="22">
                  <c:v>104.5294732018304</c:v>
                </c:pt>
                <c:pt idx="23">
                  <c:v>104.5294732018304</c:v>
                </c:pt>
                <c:pt idx="24">
                  <c:v>104.5294732018304</c:v>
                </c:pt>
                <c:pt idx="25">
                  <c:v>104.5294732018304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3080128"/>
        <c:axId val="-1373072944"/>
      </c:barChart>
      <c:lineChart>
        <c:grouping val="standard"/>
        <c:varyColors val="0"/>
        <c:ser>
          <c:idx val="0"/>
          <c:order val="2"/>
          <c:tx>
            <c:strRef>
              <c:f>'200kW'!$C$3:$D$3</c:f>
              <c:strCache>
                <c:ptCount val="1"/>
                <c:pt idx="0">
                  <c:v>200 kW - Cranbrook - High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'200kW'!$B$6:$B$31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'200kW'!$C$6:$C$31</c:f>
              <c:numCache>
                <c:formatCode>0</c:formatCode>
                <c:ptCount val="26"/>
                <c:pt idx="0">
                  <c:v>155.0561797752809</c:v>
                </c:pt>
                <c:pt idx="1">
                  <c:v>139.7391726472464</c:v>
                </c:pt>
                <c:pt idx="2">
                  <c:v>128.6546103743706</c:v>
                </c:pt>
                <c:pt idx="3">
                  <c:v>120.4597552686964</c:v>
                </c:pt>
                <c:pt idx="4">
                  <c:v>114.2984397837058</c:v>
                </c:pt>
                <c:pt idx="5">
                  <c:v>109.6039616773943</c:v>
                </c:pt>
                <c:pt idx="6">
                  <c:v>105.9891238918141</c:v>
                </c:pt>
                <c:pt idx="7">
                  <c:v>103.18214330749</c:v>
                </c:pt>
                <c:pt idx="8">
                  <c:v>100.9878322252832</c:v>
                </c:pt>
                <c:pt idx="9">
                  <c:v>99.26327247114086</c:v>
                </c:pt>
                <c:pt idx="10">
                  <c:v>97.90209945534415</c:v>
                </c:pt>
                <c:pt idx="11">
                  <c:v>96.82406586649805</c:v>
                </c:pt>
                <c:pt idx="12">
                  <c:v>95.96793698446057</c:v>
                </c:pt>
                <c:pt idx="13">
                  <c:v>95.2865441896121</c:v>
                </c:pt>
                <c:pt idx="14">
                  <c:v>94.74327071664102</c:v>
                </c:pt>
                <c:pt idx="15">
                  <c:v>94.30950937660104</c:v>
                </c:pt>
                <c:pt idx="16">
                  <c:v>93.9627936833218</c:v>
                </c:pt>
                <c:pt idx="17">
                  <c:v>93.68540452689547</c:v>
                </c:pt>
                <c:pt idx="18">
                  <c:v>93.4633185991264</c:v>
                </c:pt>
                <c:pt idx="19">
                  <c:v>93.28540635114699</c:v>
                </c:pt>
                <c:pt idx="20">
                  <c:v>93.14281476412782</c:v>
                </c:pt>
                <c:pt idx="21">
                  <c:v>93.0284887405427</c:v>
                </c:pt>
                <c:pt idx="22">
                  <c:v>92.93679762608055</c:v>
                </c:pt>
                <c:pt idx="23">
                  <c:v>92.86324223065931</c:v>
                </c:pt>
                <c:pt idx="24">
                  <c:v>92.80422399547678</c:v>
                </c:pt>
                <c:pt idx="25">
                  <c:v>92.75686247187431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'200kW'!$E$3:$F$3</c:f>
              <c:strCache>
                <c:ptCount val="1"/>
                <c:pt idx="0">
                  <c:v>200 kW - Cranbrook - Low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'200kW'!$E$6:$E$31</c:f>
              <c:numCache>
                <c:formatCode>0</c:formatCode>
                <c:ptCount val="26"/>
                <c:pt idx="0">
                  <c:v>155.0561797752809</c:v>
                </c:pt>
                <c:pt idx="1">
                  <c:v>138.9189593141138</c:v>
                </c:pt>
                <c:pt idx="2">
                  <c:v>126.6876897765666</c:v>
                </c:pt>
                <c:pt idx="3">
                  <c:v>117.2511061022875</c:v>
                </c:pt>
                <c:pt idx="4">
                  <c:v>109.8624119462337</c:v>
                </c:pt>
                <c:pt idx="5">
                  <c:v>104.0054792422813</c:v>
                </c:pt>
                <c:pt idx="6">
                  <c:v>99.31467091803982</c:v>
                </c:pt>
                <c:pt idx="7">
                  <c:v>95.52522914214988</c:v>
                </c:pt>
                <c:pt idx="8">
                  <c:v>92.44168420501577</c:v>
                </c:pt>
                <c:pt idx="9">
                  <c:v>89.9172130885335</c:v>
                </c:pt>
                <c:pt idx="10">
                  <c:v>87.839833990118</c:v>
                </c:pt>
                <c:pt idx="11">
                  <c:v>86.12297435862675</c:v>
                </c:pt>
                <c:pt idx="12">
                  <c:v>84.69890000189205</c:v>
                </c:pt>
                <c:pt idx="13">
                  <c:v>83.5140543501985</c:v>
                </c:pt>
                <c:pt idx="14">
                  <c:v>82.52569712866629</c:v>
                </c:pt>
                <c:pt idx="15">
                  <c:v>81.69944244047929</c:v>
                </c:pt>
                <c:pt idx="16">
                  <c:v>81.00742953982473</c:v>
                </c:pt>
                <c:pt idx="17">
                  <c:v>80.4269454608024</c:v>
                </c:pt>
                <c:pt idx="18">
                  <c:v>79.93937498561705</c:v>
                </c:pt>
                <c:pt idx="19">
                  <c:v>79.52939095992167</c:v>
                </c:pt>
                <c:pt idx="20">
                  <c:v>79.18432334121288</c:v>
                </c:pt>
                <c:pt idx="21">
                  <c:v>78.89366276972268</c:v>
                </c:pt>
                <c:pt idx="22">
                  <c:v>78.64866654301457</c:v>
                </c:pt>
                <c:pt idx="23">
                  <c:v>78.44204338116075</c:v>
                </c:pt>
                <c:pt idx="24">
                  <c:v>78.26769942337433</c:v>
                </c:pt>
                <c:pt idx="25">
                  <c:v>78.12053225495126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3080128"/>
        <c:axId val="-1373072944"/>
      </c:lineChart>
      <c:catAx>
        <c:axId val="-137308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Year</a:t>
                </a:r>
              </a:p>
            </c:rich>
          </c:tx>
          <c:layout>
            <c:manualLayout>
              <c:xMode val="edge"/>
              <c:yMode val="edge"/>
              <c:x val="0.458702334844214"/>
              <c:y val="0.9192750087138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373072944"/>
        <c:crosses val="autoZero"/>
        <c:auto val="1"/>
        <c:lblAlgn val="ctr"/>
        <c:lblOffset val="100"/>
        <c:tickLblSkip val="2"/>
        <c:noMultiLvlLbl val="0"/>
      </c:catAx>
      <c:valAx>
        <c:axId val="-1373072944"/>
        <c:scaling>
          <c:orientation val="minMax"/>
          <c:min val="20.0"/>
        </c:scaling>
        <c:delete val="0"/>
        <c:axPos val="l"/>
        <c:majorGridlines/>
        <c:title>
          <c:tx>
            <c:rich>
              <a:bodyPr rot="-5400000" vert="horz" lIns="0" anchor="t" anchorCtr="1">
                <a:noAutofit/>
              </a:bodyPr>
              <a:lstStyle/>
              <a:p>
                <a:pPr>
                  <a:defRPr sz="1800"/>
                </a:pPr>
                <a:r>
                  <a:rPr lang="en-US" sz="1800"/>
                  <a:t>$/MWh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3730801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 b="1" i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5917112005597"/>
          <c:y val="0.139684709927099"/>
          <c:w val="0.882532787111846"/>
          <c:h val="0.72327137040581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'1MW'!$J$3</c:f>
              <c:strCache>
                <c:ptCount val="1"/>
                <c:pt idx="0">
                  <c:v>LGS-1%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'1MW'!$B$6:$B$31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'1MW'!$J$6:$J$31</c:f>
              <c:numCache>
                <c:formatCode>0</c:formatCode>
                <c:ptCount val="26"/>
                <c:pt idx="0">
                  <c:v>60.6375</c:v>
                </c:pt>
                <c:pt idx="1">
                  <c:v>61.85025</c:v>
                </c:pt>
                <c:pt idx="2">
                  <c:v>62.77800375</c:v>
                </c:pt>
                <c:pt idx="3">
                  <c:v>63.4057837875</c:v>
                </c:pt>
                <c:pt idx="4">
                  <c:v>63.786218490225</c:v>
                </c:pt>
                <c:pt idx="5">
                  <c:v>64.16893580116634</c:v>
                </c:pt>
                <c:pt idx="6">
                  <c:v>64.55394941597333</c:v>
                </c:pt>
                <c:pt idx="7">
                  <c:v>64.94127311246918</c:v>
                </c:pt>
                <c:pt idx="8">
                  <c:v>65.330920751144</c:v>
                </c:pt>
                <c:pt idx="9">
                  <c:v>65.98422995865543</c:v>
                </c:pt>
                <c:pt idx="10">
                  <c:v>66.64407225824199</c:v>
                </c:pt>
                <c:pt idx="11">
                  <c:v>67.31051298082441</c:v>
                </c:pt>
                <c:pt idx="12">
                  <c:v>67.98361811063266</c:v>
                </c:pt>
                <c:pt idx="13">
                  <c:v>68.66345429173898</c:v>
                </c:pt>
                <c:pt idx="14">
                  <c:v>69.35008883465638</c:v>
                </c:pt>
                <c:pt idx="15">
                  <c:v>70.04358972300293</c:v>
                </c:pt>
                <c:pt idx="16">
                  <c:v>70.74402562023297</c:v>
                </c:pt>
                <c:pt idx="17">
                  <c:v>71.45146587643531</c:v>
                </c:pt>
                <c:pt idx="18">
                  <c:v>72.16598053519967</c:v>
                </c:pt>
                <c:pt idx="19">
                  <c:v>72.88764034055166</c:v>
                </c:pt>
                <c:pt idx="20">
                  <c:v>73.61651674395717</c:v>
                </c:pt>
                <c:pt idx="21">
                  <c:v>74.35268191139674</c:v>
                </c:pt>
                <c:pt idx="22">
                  <c:v>75.09620873051071</c:v>
                </c:pt>
                <c:pt idx="23">
                  <c:v>75.84717081781582</c:v>
                </c:pt>
                <c:pt idx="24">
                  <c:v>76.60564252599399</c:v>
                </c:pt>
                <c:pt idx="25">
                  <c:v>77.37169895125393</c:v>
                </c:pt>
              </c:numCache>
            </c:numRef>
          </c:val>
        </c:ser>
        <c:ser>
          <c:idx val="8"/>
          <c:order val="1"/>
          <c:tx>
            <c:strRef>
              <c:f>'1MW'!$H$3</c:f>
              <c:strCache>
                <c:ptCount val="1"/>
                <c:pt idx="0">
                  <c:v>LGS-0%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'1MW'!$B$6:$B$31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'1MW'!$H$6:$H$31</c:f>
              <c:numCache>
                <c:formatCode>0</c:formatCode>
                <c:ptCount val="26"/>
                <c:pt idx="0">
                  <c:v>60.6375</c:v>
                </c:pt>
                <c:pt idx="1">
                  <c:v>61.85025</c:v>
                </c:pt>
                <c:pt idx="2">
                  <c:v>62.77800375</c:v>
                </c:pt>
                <c:pt idx="3">
                  <c:v>63.4057837875</c:v>
                </c:pt>
                <c:pt idx="4">
                  <c:v>63.786218490225</c:v>
                </c:pt>
                <c:pt idx="5">
                  <c:v>64.16893580116634</c:v>
                </c:pt>
                <c:pt idx="6">
                  <c:v>64.55394941597333</c:v>
                </c:pt>
                <c:pt idx="7">
                  <c:v>64.94127311246918</c:v>
                </c:pt>
                <c:pt idx="8">
                  <c:v>65.330920751144</c:v>
                </c:pt>
                <c:pt idx="9">
                  <c:v>65.330920751144</c:v>
                </c:pt>
                <c:pt idx="10">
                  <c:v>65.330920751144</c:v>
                </c:pt>
                <c:pt idx="11">
                  <c:v>65.330920751144</c:v>
                </c:pt>
                <c:pt idx="12">
                  <c:v>65.330920751144</c:v>
                </c:pt>
                <c:pt idx="13">
                  <c:v>65.330920751144</c:v>
                </c:pt>
                <c:pt idx="14">
                  <c:v>65.330920751144</c:v>
                </c:pt>
                <c:pt idx="15">
                  <c:v>65.330920751144</c:v>
                </c:pt>
                <c:pt idx="16">
                  <c:v>65.330920751144</c:v>
                </c:pt>
                <c:pt idx="17">
                  <c:v>65.330920751144</c:v>
                </c:pt>
                <c:pt idx="18">
                  <c:v>65.330920751144</c:v>
                </c:pt>
                <c:pt idx="19">
                  <c:v>65.330920751144</c:v>
                </c:pt>
                <c:pt idx="20">
                  <c:v>65.330920751144</c:v>
                </c:pt>
                <c:pt idx="21">
                  <c:v>65.330920751144</c:v>
                </c:pt>
                <c:pt idx="22">
                  <c:v>65.330920751144</c:v>
                </c:pt>
                <c:pt idx="23">
                  <c:v>65.330920751144</c:v>
                </c:pt>
                <c:pt idx="24">
                  <c:v>65.330920751144</c:v>
                </c:pt>
                <c:pt idx="25">
                  <c:v>65.330920751144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1734592"/>
        <c:axId val="-1401727248"/>
      </c:barChart>
      <c:lineChart>
        <c:grouping val="standard"/>
        <c:varyColors val="0"/>
        <c:ser>
          <c:idx val="0"/>
          <c:order val="2"/>
          <c:tx>
            <c:strRef>
              <c:f>'1MW'!$C$3:$D$3</c:f>
              <c:strCache>
                <c:ptCount val="1"/>
                <c:pt idx="0">
                  <c:v>1 MW - Cranbrook - High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'1MW'!$C$6:$C$31</c:f>
              <c:numCache>
                <c:formatCode>0</c:formatCode>
                <c:ptCount val="26"/>
                <c:pt idx="0">
                  <c:v>139.8089887640449</c:v>
                </c:pt>
                <c:pt idx="1">
                  <c:v>125.4875786344308</c:v>
                </c:pt>
                <c:pt idx="2">
                  <c:v>115.2683396493823</c:v>
                </c:pt>
                <c:pt idx="3">
                  <c:v>107.8056568494686</c:v>
                </c:pt>
                <c:pt idx="4">
                  <c:v>102.2569264546082</c:v>
                </c:pt>
                <c:pt idx="5">
                  <c:v>98.07273125255782</c:v>
                </c:pt>
                <c:pt idx="6">
                  <c:v>94.88240864752467</c:v>
                </c:pt>
                <c:pt idx="7">
                  <c:v>92.42860865680977</c:v>
                </c:pt>
                <c:pt idx="8">
                  <c:v>90.52828749901124</c:v>
                </c:pt>
                <c:pt idx="9">
                  <c:v>89.04859312756224</c:v>
                </c:pt>
                <c:pt idx="10">
                  <c:v>87.8914637814448</c:v>
                </c:pt>
                <c:pt idx="11">
                  <c:v>86.9834996933891</c:v>
                </c:pt>
                <c:pt idx="12">
                  <c:v>86.26912513403195</c:v>
                </c:pt>
                <c:pt idx="13">
                  <c:v>85.70586161354318</c:v>
                </c:pt>
                <c:pt idx="14">
                  <c:v>85.26099082941441</c:v>
                </c:pt>
                <c:pt idx="15">
                  <c:v>84.90915435184136</c:v>
                </c:pt>
                <c:pt idx="16">
                  <c:v>84.6305985984453</c:v>
                </c:pt>
                <c:pt idx="17">
                  <c:v>84.40987327660386</c:v>
                </c:pt>
                <c:pt idx="18">
                  <c:v>84.23485430687506</c:v>
                </c:pt>
                <c:pt idx="19">
                  <c:v>84.09600272481725</c:v>
                </c:pt>
                <c:pt idx="20">
                  <c:v>83.98579767751548</c:v>
                </c:pt>
                <c:pt idx="21">
                  <c:v>83.89829947888371</c:v>
                </c:pt>
                <c:pt idx="22">
                  <c:v>83.82881088117838</c:v>
                </c:pt>
                <c:pt idx="23">
                  <c:v>83.77361320126667</c:v>
                </c:pt>
                <c:pt idx="24">
                  <c:v>83.72975994025591</c:v>
                </c:pt>
                <c:pt idx="25">
                  <c:v>83.69491484778601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'1MW'!$E$3:$F$3</c:f>
              <c:strCache>
                <c:ptCount val="1"/>
                <c:pt idx="0">
                  <c:v>1 MW - Cranbrook - Low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'1MW'!$E$6:$E$31</c:f>
              <c:numCache>
                <c:formatCode>0</c:formatCode>
                <c:ptCount val="26"/>
                <c:pt idx="0">
                  <c:v>139.8089887640449</c:v>
                </c:pt>
                <c:pt idx="1">
                  <c:v>124.6769327780375</c:v>
                </c:pt>
                <c:pt idx="2">
                  <c:v>113.3417574888307</c:v>
                </c:pt>
                <c:pt idx="3">
                  <c:v>104.6858748449393</c:v>
                </c:pt>
                <c:pt idx="4">
                  <c:v>97.97021346422557</c:v>
                </c:pt>
                <c:pt idx="5">
                  <c:v>92.69094140200067</c:v>
                </c:pt>
                <c:pt idx="6">
                  <c:v>88.49531733166405</c:v>
                </c:pt>
                <c:pt idx="7">
                  <c:v>85.13052045475298</c:v>
                </c:pt>
                <c:pt idx="8">
                  <c:v>82.4115584676771</c:v>
                </c:pt>
                <c:pt idx="9">
                  <c:v>80.2005761948006</c:v>
                </c:pt>
                <c:pt idx="10">
                  <c:v>78.39317773453467</c:v>
                </c:pt>
                <c:pt idx="11">
                  <c:v>76.90917748188778</c:v>
                </c:pt>
                <c:pt idx="12">
                  <c:v>75.6862149311362</c:v>
                </c:pt>
                <c:pt idx="13">
                  <c:v>74.67526170059101</c:v>
                </c:pt>
                <c:pt idx="14">
                  <c:v>73.8374039006411</c:v>
                </c:pt>
                <c:pt idx="15">
                  <c:v>73.14150000372848</c:v>
                </c:pt>
                <c:pt idx="16">
                  <c:v>72.56245009352874</c:v>
                </c:pt>
                <c:pt idx="17">
                  <c:v>72.07989893754961</c:v>
                </c:pt>
                <c:pt idx="18">
                  <c:v>71.67725155796573</c:v>
                </c:pt>
                <c:pt idx="19">
                  <c:v>71.34091711978763</c:v>
                </c:pt>
                <c:pt idx="20">
                  <c:v>71.05972187756048</c:v>
                </c:pt>
                <c:pt idx="21">
                  <c:v>70.82444888878155</c:v>
                </c:pt>
                <c:pt idx="22">
                  <c:v>70.62747391286183</c:v>
                </c:pt>
                <c:pt idx="23">
                  <c:v>70.46247510297505</c:v>
                </c:pt>
                <c:pt idx="24">
                  <c:v>70.3241998955065</c:v>
                </c:pt>
                <c:pt idx="25">
                  <c:v>70.2082766557143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1734592"/>
        <c:axId val="-1401727248"/>
      </c:lineChart>
      <c:catAx>
        <c:axId val="-140173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Year</a:t>
                </a:r>
              </a:p>
            </c:rich>
          </c:tx>
          <c:layout>
            <c:manualLayout>
              <c:xMode val="edge"/>
              <c:yMode val="edge"/>
              <c:x val="0.458702334844214"/>
              <c:y val="0.9192750087138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401727248"/>
        <c:crosses val="autoZero"/>
        <c:auto val="1"/>
        <c:lblAlgn val="ctr"/>
        <c:lblOffset val="100"/>
        <c:tickLblSkip val="2"/>
        <c:noMultiLvlLbl val="0"/>
      </c:catAx>
      <c:valAx>
        <c:axId val="-1401727248"/>
        <c:scaling>
          <c:orientation val="minMax"/>
          <c:min val="20.0"/>
        </c:scaling>
        <c:delete val="0"/>
        <c:axPos val="l"/>
        <c:majorGridlines/>
        <c:title>
          <c:tx>
            <c:rich>
              <a:bodyPr rot="-5400000" vert="horz" lIns="0" anchor="t" anchorCtr="1">
                <a:noAutofit/>
              </a:bodyPr>
              <a:lstStyle/>
              <a:p>
                <a:pPr>
                  <a:defRPr sz="1800"/>
                </a:pPr>
                <a:r>
                  <a:rPr lang="en-US" sz="1800"/>
                  <a:t>$/MWh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4017345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 b="1" i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8943035105"/>
          <c:y val="0.201593502659155"/>
          <c:w val="0.855715429622943"/>
          <c:h val="0.66136250631681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'5MW'!$J$3</c:f>
              <c:strCache>
                <c:ptCount val="1"/>
                <c:pt idx="0">
                  <c:v>1823A-1%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'5MW'!$B$6:$B$31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'5MW'!$J$6:$J$31</c:f>
              <c:numCache>
                <c:formatCode>0</c:formatCode>
                <c:ptCount val="26"/>
                <c:pt idx="0">
                  <c:v>51.06780000000001</c:v>
                </c:pt>
                <c:pt idx="1">
                  <c:v>52.08915600000001</c:v>
                </c:pt>
                <c:pt idx="2">
                  <c:v>52.87049334</c:v>
                </c:pt>
                <c:pt idx="3">
                  <c:v>53.3991982734</c:v>
                </c:pt>
                <c:pt idx="4">
                  <c:v>53.7195934630404</c:v>
                </c:pt>
                <c:pt idx="5">
                  <c:v>54.04191102381865</c:v>
                </c:pt>
                <c:pt idx="6">
                  <c:v>54.36616248996156</c:v>
                </c:pt>
                <c:pt idx="7">
                  <c:v>54.69235946490132</c:v>
                </c:pt>
                <c:pt idx="8">
                  <c:v>55.02051362169074</c:v>
                </c:pt>
                <c:pt idx="9">
                  <c:v>55.57071875790765</c:v>
                </c:pt>
                <c:pt idx="10">
                  <c:v>56.12642594548672</c:v>
                </c:pt>
                <c:pt idx="11">
                  <c:v>56.68769020494159</c:v>
                </c:pt>
                <c:pt idx="12">
                  <c:v>57.254567106991</c:v>
                </c:pt>
                <c:pt idx="13">
                  <c:v>57.82711277806091</c:v>
                </c:pt>
                <c:pt idx="14">
                  <c:v>58.40538390584152</c:v>
                </c:pt>
                <c:pt idx="15">
                  <c:v>58.98943774489994</c:v>
                </c:pt>
                <c:pt idx="16">
                  <c:v>59.57933212234893</c:v>
                </c:pt>
                <c:pt idx="17">
                  <c:v>60.17512544357242</c:v>
                </c:pt>
                <c:pt idx="18">
                  <c:v>60.77687669800815</c:v>
                </c:pt>
                <c:pt idx="19">
                  <c:v>61.38464546498823</c:v>
                </c:pt>
                <c:pt idx="20">
                  <c:v>61.99849191963811</c:v>
                </c:pt>
                <c:pt idx="21">
                  <c:v>62.6184768388345</c:v>
                </c:pt>
                <c:pt idx="22">
                  <c:v>63.24466160722285</c:v>
                </c:pt>
                <c:pt idx="23">
                  <c:v>63.87710822329507</c:v>
                </c:pt>
                <c:pt idx="24">
                  <c:v>64.51587930552803</c:v>
                </c:pt>
                <c:pt idx="25">
                  <c:v>65.16103809858332</c:v>
                </c:pt>
              </c:numCache>
            </c:numRef>
          </c:val>
        </c:ser>
        <c:ser>
          <c:idx val="8"/>
          <c:order val="1"/>
          <c:tx>
            <c:strRef>
              <c:f>'5MW'!$H$3</c:f>
              <c:strCache>
                <c:ptCount val="1"/>
                <c:pt idx="0">
                  <c:v>1823A-0%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'5MW'!$B$6:$B$31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'5MW'!$H$6:$H$31</c:f>
              <c:numCache>
                <c:formatCode>0</c:formatCode>
                <c:ptCount val="26"/>
                <c:pt idx="0">
                  <c:v>51.06780000000001</c:v>
                </c:pt>
                <c:pt idx="1">
                  <c:v>52.08915600000001</c:v>
                </c:pt>
                <c:pt idx="2">
                  <c:v>52.87049334</c:v>
                </c:pt>
                <c:pt idx="3">
                  <c:v>53.3991982734</c:v>
                </c:pt>
                <c:pt idx="4">
                  <c:v>53.7195934630404</c:v>
                </c:pt>
                <c:pt idx="5">
                  <c:v>54.04191102381865</c:v>
                </c:pt>
                <c:pt idx="6">
                  <c:v>54.36616248996156</c:v>
                </c:pt>
                <c:pt idx="7">
                  <c:v>54.69235946490132</c:v>
                </c:pt>
                <c:pt idx="8">
                  <c:v>55.02051362169074</c:v>
                </c:pt>
                <c:pt idx="9">
                  <c:v>55.02051362169074</c:v>
                </c:pt>
                <c:pt idx="10">
                  <c:v>55.02051362169074</c:v>
                </c:pt>
                <c:pt idx="11">
                  <c:v>55.02051362169074</c:v>
                </c:pt>
                <c:pt idx="12">
                  <c:v>55.02051362169074</c:v>
                </c:pt>
                <c:pt idx="13">
                  <c:v>55.02051362169074</c:v>
                </c:pt>
                <c:pt idx="14">
                  <c:v>55.02051362169074</c:v>
                </c:pt>
                <c:pt idx="15">
                  <c:v>55.02051362169074</c:v>
                </c:pt>
                <c:pt idx="16">
                  <c:v>55.02051362169074</c:v>
                </c:pt>
                <c:pt idx="17">
                  <c:v>55.02051362169074</c:v>
                </c:pt>
                <c:pt idx="18">
                  <c:v>55.02051362169074</c:v>
                </c:pt>
                <c:pt idx="19">
                  <c:v>55.02051362169074</c:v>
                </c:pt>
                <c:pt idx="20">
                  <c:v>55.02051362169074</c:v>
                </c:pt>
                <c:pt idx="21">
                  <c:v>55.02051362169074</c:v>
                </c:pt>
                <c:pt idx="22">
                  <c:v>55.02051362169074</c:v>
                </c:pt>
                <c:pt idx="23">
                  <c:v>55.02051362169074</c:v>
                </c:pt>
                <c:pt idx="24">
                  <c:v>55.02051362169074</c:v>
                </c:pt>
                <c:pt idx="25">
                  <c:v>55.02051362169074</c:v>
                </c:pt>
              </c:numCache>
            </c:numRef>
          </c:val>
        </c:ser>
        <c:ser>
          <c:idx val="0"/>
          <c:order val="2"/>
          <c:tx>
            <c:strRef>
              <c:f>'5MW'!$L$3:$M$3</c:f>
              <c:strCache>
                <c:ptCount val="1"/>
                <c:pt idx="0">
                  <c:v>1823B-0%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numRef>
              <c:f>'5MW'!$B$6:$B$31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'5MW'!$L$6:$L$31</c:f>
              <c:numCache>
                <c:formatCode>0</c:formatCode>
                <c:ptCount val="26"/>
                <c:pt idx="0">
                  <c:v>45.42300000000001</c:v>
                </c:pt>
                <c:pt idx="1">
                  <c:v>46.33146000000001</c:v>
                </c:pt>
                <c:pt idx="2">
                  <c:v>47.0264319</c:v>
                </c:pt>
                <c:pt idx="3">
                  <c:v>47.49669621900001</c:v>
                </c:pt>
                <c:pt idx="4">
                  <c:v>47.781676396314</c:v>
                </c:pt>
                <c:pt idx="5">
                  <c:v>48.0683664546919</c:v>
                </c:pt>
                <c:pt idx="6">
                  <c:v>48.35677665342004</c:v>
                </c:pt>
                <c:pt idx="7">
                  <c:v>48.64691731334056</c:v>
                </c:pt>
                <c:pt idx="8">
                  <c:v>48.9387988172206</c:v>
                </c:pt>
                <c:pt idx="9">
                  <c:v>48.9387988172206</c:v>
                </c:pt>
                <c:pt idx="10">
                  <c:v>48.9387988172206</c:v>
                </c:pt>
                <c:pt idx="11">
                  <c:v>48.9387988172206</c:v>
                </c:pt>
                <c:pt idx="12">
                  <c:v>48.9387988172206</c:v>
                </c:pt>
                <c:pt idx="13">
                  <c:v>48.9387988172206</c:v>
                </c:pt>
                <c:pt idx="14">
                  <c:v>48.9387988172206</c:v>
                </c:pt>
                <c:pt idx="15">
                  <c:v>48.9387988172206</c:v>
                </c:pt>
                <c:pt idx="16">
                  <c:v>48.9387988172206</c:v>
                </c:pt>
                <c:pt idx="17">
                  <c:v>48.9387988172206</c:v>
                </c:pt>
                <c:pt idx="18">
                  <c:v>48.9387988172206</c:v>
                </c:pt>
                <c:pt idx="19">
                  <c:v>48.9387988172206</c:v>
                </c:pt>
                <c:pt idx="20">
                  <c:v>48.9387988172206</c:v>
                </c:pt>
                <c:pt idx="21">
                  <c:v>48.9387988172206</c:v>
                </c:pt>
                <c:pt idx="22">
                  <c:v>48.9387988172206</c:v>
                </c:pt>
                <c:pt idx="23">
                  <c:v>48.9387988172206</c:v>
                </c:pt>
                <c:pt idx="24">
                  <c:v>48.9387988172206</c:v>
                </c:pt>
                <c:pt idx="25">
                  <c:v>48.9387988172206</c:v>
                </c:pt>
              </c:numCache>
            </c:numRef>
          </c:val>
        </c:ser>
        <c:ser>
          <c:idx val="1"/>
          <c:order val="3"/>
          <c:tx>
            <c:strRef>
              <c:f>'5MW'!$N$3:$O$3</c:f>
              <c:strCache>
                <c:ptCount val="1"/>
                <c:pt idx="0">
                  <c:v>1823B-1%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numRef>
              <c:f>'5MW'!$B$6:$B$31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'5MW'!$N$6:$N$31</c:f>
              <c:numCache>
                <c:formatCode>0</c:formatCode>
                <c:ptCount val="26"/>
                <c:pt idx="0">
                  <c:v>45.42300000000001</c:v>
                </c:pt>
                <c:pt idx="1">
                  <c:v>46.33146000000001</c:v>
                </c:pt>
                <c:pt idx="2">
                  <c:v>47.0264319</c:v>
                </c:pt>
                <c:pt idx="3">
                  <c:v>47.49669621900001</c:v>
                </c:pt>
                <c:pt idx="4">
                  <c:v>47.781676396314</c:v>
                </c:pt>
                <c:pt idx="5">
                  <c:v>48.0683664546919</c:v>
                </c:pt>
                <c:pt idx="6">
                  <c:v>48.35677665342004</c:v>
                </c:pt>
                <c:pt idx="7">
                  <c:v>48.64691731334056</c:v>
                </c:pt>
                <c:pt idx="8">
                  <c:v>48.9387988172206</c:v>
                </c:pt>
                <c:pt idx="9">
                  <c:v>49.42818680539281</c:v>
                </c:pt>
                <c:pt idx="10">
                  <c:v>49.92246867344674</c:v>
                </c:pt>
                <c:pt idx="11">
                  <c:v>50.4216933601812</c:v>
                </c:pt>
                <c:pt idx="12">
                  <c:v>50.92591029378301</c:v>
                </c:pt>
                <c:pt idx="13">
                  <c:v>51.43516939672084</c:v>
                </c:pt>
                <c:pt idx="14">
                  <c:v>51.94952109068805</c:v>
                </c:pt>
                <c:pt idx="15">
                  <c:v>52.46901630159493</c:v>
                </c:pt>
                <c:pt idx="16">
                  <c:v>52.99370646461088</c:v>
                </c:pt>
                <c:pt idx="17">
                  <c:v>53.52364352925699</c:v>
                </c:pt>
                <c:pt idx="18">
                  <c:v>54.05887996454956</c:v>
                </c:pt>
                <c:pt idx="19">
                  <c:v>54.59946876419506</c:v>
                </c:pt>
                <c:pt idx="20">
                  <c:v>55.14546345183701</c:v>
                </c:pt>
                <c:pt idx="21">
                  <c:v>55.69691808635538</c:v>
                </c:pt>
                <c:pt idx="22">
                  <c:v>56.25388726721894</c:v>
                </c:pt>
                <c:pt idx="23">
                  <c:v>56.81642613989113</c:v>
                </c:pt>
                <c:pt idx="24">
                  <c:v>57.38459040129004</c:v>
                </c:pt>
                <c:pt idx="25">
                  <c:v>57.95843630530294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3877200"/>
        <c:axId val="-1373013104"/>
      </c:barChart>
      <c:lineChart>
        <c:grouping val="standard"/>
        <c:varyColors val="0"/>
        <c:ser>
          <c:idx val="2"/>
          <c:order val="4"/>
          <c:tx>
            <c:strRef>
              <c:f>'5MW'!$C$3:$D$3</c:f>
              <c:strCache>
                <c:ptCount val="1"/>
                <c:pt idx="0">
                  <c:v>5 MW - Cranbrook - High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'5MW'!$B$6:$B$31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'5MW'!$C$6:$C$31</c:f>
              <c:numCache>
                <c:formatCode>0</c:formatCode>
                <c:ptCount val="26"/>
                <c:pt idx="0">
                  <c:v>116.938202247191</c:v>
                </c:pt>
                <c:pt idx="1">
                  <c:v>105.5049032554119</c:v>
                </c:pt>
                <c:pt idx="2">
                  <c:v>98.85144393125672</c:v>
                </c:pt>
                <c:pt idx="3">
                  <c:v>94.83059649697893</c:v>
                </c:pt>
                <c:pt idx="4">
                  <c:v>92.34264004620321</c:v>
                </c:pt>
                <c:pt idx="5">
                  <c:v>90.78000955900814</c:v>
                </c:pt>
                <c:pt idx="6">
                  <c:v>89.78916861306493</c:v>
                </c:pt>
                <c:pt idx="7">
                  <c:v>89.15705173566478</c:v>
                </c:pt>
                <c:pt idx="8">
                  <c:v>88.75220667119134</c:v>
                </c:pt>
                <c:pt idx="9">
                  <c:v>88.49226732342866</c:v>
                </c:pt>
                <c:pt idx="10">
                  <c:v>88.32509749286572</c:v>
                </c:pt>
                <c:pt idx="11">
                  <c:v>88.21747664238168</c:v>
                </c:pt>
                <c:pt idx="12">
                  <c:v>88.14814577396514</c:v>
                </c:pt>
                <c:pt idx="13">
                  <c:v>88.10346250841695</c:v>
                </c:pt>
                <c:pt idx="14">
                  <c:v>88.07465641167168</c:v>
                </c:pt>
                <c:pt idx="15">
                  <c:v>88.0560825541211</c:v>
                </c:pt>
                <c:pt idx="16">
                  <c:v>88.0441049424642</c:v>
                </c:pt>
                <c:pt idx="17">
                  <c:v>88.03638043379568</c:v>
                </c:pt>
                <c:pt idx="18">
                  <c:v>88.03139856282499</c:v>
                </c:pt>
                <c:pt idx="19">
                  <c:v>88.02818543788598</c:v>
                </c:pt>
                <c:pt idx="20">
                  <c:v>88.02611304794481</c:v>
                </c:pt>
                <c:pt idx="21">
                  <c:v>88.02477638790162</c:v>
                </c:pt>
                <c:pt idx="22">
                  <c:v>88.02391425526528</c:v>
                </c:pt>
                <c:pt idx="23">
                  <c:v>88.02335818516116</c:v>
                </c:pt>
                <c:pt idx="24">
                  <c:v>88.02299952220979</c:v>
                </c:pt>
                <c:pt idx="25">
                  <c:v>88.02276818554877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'5MW'!$E$3:$F$3</c:f>
              <c:strCache>
                <c:ptCount val="1"/>
                <c:pt idx="0">
                  <c:v>5 MW - Cranbrook - Low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'5MW'!$E$6:$E$31</c:f>
              <c:numCache>
                <c:formatCode>0</c:formatCode>
                <c:ptCount val="26"/>
                <c:pt idx="0">
                  <c:v>116.938202247191</c:v>
                </c:pt>
                <c:pt idx="1">
                  <c:v>102.4028453894253</c:v>
                </c:pt>
                <c:pt idx="2">
                  <c:v>91.96537726221406</c:v>
                </c:pt>
                <c:pt idx="3">
                  <c:v>84.27900618461936</c:v>
                </c:pt>
                <c:pt idx="4">
                  <c:v>78.50296543326284</c:v>
                </c:pt>
                <c:pt idx="5">
                  <c:v>74.0912168218674</c:v>
                </c:pt>
                <c:pt idx="6">
                  <c:v>70.67688854364648</c:v>
                </c:pt>
                <c:pt idx="7">
                  <c:v>68.00615954487513</c:v>
                </c:pt>
                <c:pt idx="8">
                  <c:v>65.89891711485343</c:v>
                </c:pt>
                <c:pt idx="9">
                  <c:v>64.22452032438151</c:v>
                </c:pt>
                <c:pt idx="10">
                  <c:v>62.88640104966079</c:v>
                </c:pt>
                <c:pt idx="11">
                  <c:v>61.81200463457465</c:v>
                </c:pt>
                <c:pt idx="12">
                  <c:v>60.94605129703655</c:v>
                </c:pt>
                <c:pt idx="13">
                  <c:v>60.24591742804451</c:v>
                </c:pt>
                <c:pt idx="14">
                  <c:v>59.67840289318937</c:v>
                </c:pt>
                <c:pt idx="15">
                  <c:v>59.21742466837594</c:v>
                </c:pt>
                <c:pt idx="16">
                  <c:v>58.84234235346518</c:v>
                </c:pt>
                <c:pt idx="17">
                  <c:v>58.53672298334208</c:v>
                </c:pt>
                <c:pt idx="18">
                  <c:v>58.2874167241552</c:v>
                </c:pt>
                <c:pt idx="19">
                  <c:v>58.08385625807399</c:v>
                </c:pt>
                <c:pt idx="20">
                  <c:v>57.91751961865373</c:v>
                </c:pt>
                <c:pt idx="21">
                  <c:v>57.78151417614354</c:v>
                </c:pt>
                <c:pt idx="22">
                  <c:v>57.67025160181255</c:v>
                </c:pt>
                <c:pt idx="23">
                  <c:v>57.57919197119267</c:v>
                </c:pt>
                <c:pt idx="24">
                  <c:v>57.50464097407614</c:v>
                </c:pt>
                <c:pt idx="25">
                  <c:v>57.44358830722065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3877200"/>
        <c:axId val="-1373013104"/>
      </c:lineChart>
      <c:catAx>
        <c:axId val="-137387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Year</a:t>
                </a:r>
              </a:p>
            </c:rich>
          </c:tx>
          <c:layout>
            <c:manualLayout>
              <c:xMode val="edge"/>
              <c:yMode val="edge"/>
              <c:x val="0.458702334844214"/>
              <c:y val="0.9192750087138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373013104"/>
        <c:crosses val="autoZero"/>
        <c:auto val="1"/>
        <c:lblAlgn val="ctr"/>
        <c:lblOffset val="100"/>
        <c:tickLblSkip val="2"/>
        <c:noMultiLvlLbl val="0"/>
      </c:catAx>
      <c:valAx>
        <c:axId val="-1373013104"/>
        <c:scaling>
          <c:orientation val="minMax"/>
        </c:scaling>
        <c:delete val="0"/>
        <c:axPos val="l"/>
        <c:majorGridlines/>
        <c:title>
          <c:tx>
            <c:rich>
              <a:bodyPr rot="-5400000" vert="horz" lIns="0" anchor="t" anchorCtr="1">
                <a:noAutofit/>
              </a:bodyPr>
              <a:lstStyle/>
              <a:p>
                <a:pPr>
                  <a:defRPr sz="1800"/>
                </a:pPr>
                <a:r>
                  <a:rPr lang="en-US" sz="1800"/>
                  <a:t>$/MWh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3738772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600" b="1" i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1628292735378"/>
          <c:y val="0.139684709927099"/>
          <c:w val="0.881961636374844"/>
          <c:h val="0.72327137040581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'100MW'!$J$3</c:f>
              <c:strCache>
                <c:ptCount val="1"/>
                <c:pt idx="0">
                  <c:v>1823A-1%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'100MW'!$B$6:$B$31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'100MW'!$J$6:$J$31</c:f>
              <c:numCache>
                <c:formatCode>0</c:formatCode>
                <c:ptCount val="26"/>
                <c:pt idx="0">
                  <c:v>51.06780000000001</c:v>
                </c:pt>
                <c:pt idx="1">
                  <c:v>52.08915600000001</c:v>
                </c:pt>
                <c:pt idx="2">
                  <c:v>52.87049334</c:v>
                </c:pt>
                <c:pt idx="3">
                  <c:v>53.3991982734</c:v>
                </c:pt>
                <c:pt idx="4">
                  <c:v>53.7195934630404</c:v>
                </c:pt>
                <c:pt idx="5">
                  <c:v>54.04191102381865</c:v>
                </c:pt>
                <c:pt idx="6">
                  <c:v>54.36616248996156</c:v>
                </c:pt>
                <c:pt idx="7">
                  <c:v>54.69235946490132</c:v>
                </c:pt>
                <c:pt idx="8">
                  <c:v>55.02051362169074</c:v>
                </c:pt>
                <c:pt idx="9">
                  <c:v>55.57071875790765</c:v>
                </c:pt>
                <c:pt idx="10">
                  <c:v>56.12642594548672</c:v>
                </c:pt>
                <c:pt idx="11">
                  <c:v>56.68769020494159</c:v>
                </c:pt>
                <c:pt idx="12">
                  <c:v>57.254567106991</c:v>
                </c:pt>
                <c:pt idx="13">
                  <c:v>57.82711277806091</c:v>
                </c:pt>
                <c:pt idx="14">
                  <c:v>58.40538390584152</c:v>
                </c:pt>
                <c:pt idx="15">
                  <c:v>58.98943774489994</c:v>
                </c:pt>
                <c:pt idx="16">
                  <c:v>59.57933212234893</c:v>
                </c:pt>
                <c:pt idx="17">
                  <c:v>60.17512544357242</c:v>
                </c:pt>
                <c:pt idx="18">
                  <c:v>60.77687669800815</c:v>
                </c:pt>
                <c:pt idx="19">
                  <c:v>61.38464546498823</c:v>
                </c:pt>
                <c:pt idx="20">
                  <c:v>61.99849191963811</c:v>
                </c:pt>
                <c:pt idx="21">
                  <c:v>62.6184768388345</c:v>
                </c:pt>
                <c:pt idx="22">
                  <c:v>63.24466160722285</c:v>
                </c:pt>
                <c:pt idx="23">
                  <c:v>63.87710822329507</c:v>
                </c:pt>
                <c:pt idx="24">
                  <c:v>64.51587930552803</c:v>
                </c:pt>
                <c:pt idx="25">
                  <c:v>65.16103809858332</c:v>
                </c:pt>
              </c:numCache>
            </c:numRef>
          </c:val>
        </c:ser>
        <c:ser>
          <c:idx val="8"/>
          <c:order val="1"/>
          <c:tx>
            <c:strRef>
              <c:f>'100MW'!$H$3</c:f>
              <c:strCache>
                <c:ptCount val="1"/>
                <c:pt idx="0">
                  <c:v>1823A-0%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'100MW'!$B$6:$B$31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'100MW'!$H$6:$H$31</c:f>
              <c:numCache>
                <c:formatCode>0</c:formatCode>
                <c:ptCount val="26"/>
                <c:pt idx="0">
                  <c:v>51.06780000000001</c:v>
                </c:pt>
                <c:pt idx="1">
                  <c:v>52.08915600000001</c:v>
                </c:pt>
                <c:pt idx="2">
                  <c:v>52.87049334</c:v>
                </c:pt>
                <c:pt idx="3">
                  <c:v>53.3991982734</c:v>
                </c:pt>
                <c:pt idx="4">
                  <c:v>53.7195934630404</c:v>
                </c:pt>
                <c:pt idx="5">
                  <c:v>54.04191102381865</c:v>
                </c:pt>
                <c:pt idx="6">
                  <c:v>54.36616248996156</c:v>
                </c:pt>
                <c:pt idx="7">
                  <c:v>54.69235946490132</c:v>
                </c:pt>
                <c:pt idx="8">
                  <c:v>55.02051362169074</c:v>
                </c:pt>
                <c:pt idx="9">
                  <c:v>55.02051362169074</c:v>
                </c:pt>
                <c:pt idx="10">
                  <c:v>55.02051362169074</c:v>
                </c:pt>
                <c:pt idx="11">
                  <c:v>55.02051362169074</c:v>
                </c:pt>
                <c:pt idx="12">
                  <c:v>55.02051362169074</c:v>
                </c:pt>
                <c:pt idx="13">
                  <c:v>55.02051362169074</c:v>
                </c:pt>
                <c:pt idx="14">
                  <c:v>55.02051362169074</c:v>
                </c:pt>
                <c:pt idx="15">
                  <c:v>55.02051362169074</c:v>
                </c:pt>
                <c:pt idx="16">
                  <c:v>55.02051362169074</c:v>
                </c:pt>
                <c:pt idx="17">
                  <c:v>55.02051362169074</c:v>
                </c:pt>
                <c:pt idx="18">
                  <c:v>55.02051362169074</c:v>
                </c:pt>
                <c:pt idx="19">
                  <c:v>55.02051362169074</c:v>
                </c:pt>
                <c:pt idx="20">
                  <c:v>55.02051362169074</c:v>
                </c:pt>
                <c:pt idx="21">
                  <c:v>55.02051362169074</c:v>
                </c:pt>
                <c:pt idx="22">
                  <c:v>55.02051362169074</c:v>
                </c:pt>
                <c:pt idx="23">
                  <c:v>55.02051362169074</c:v>
                </c:pt>
                <c:pt idx="24">
                  <c:v>55.02051362169074</c:v>
                </c:pt>
                <c:pt idx="25">
                  <c:v>55.02051362169074</c:v>
                </c:pt>
              </c:numCache>
            </c:numRef>
          </c:val>
        </c:ser>
        <c:ser>
          <c:idx val="0"/>
          <c:order val="2"/>
          <c:tx>
            <c:strRef>
              <c:f>'100MW'!$L$3:$M$3</c:f>
              <c:strCache>
                <c:ptCount val="1"/>
                <c:pt idx="0">
                  <c:v>1823B-0%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numRef>
              <c:f>'100MW'!$B$6:$B$31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'100MW'!$L$6:$L$31</c:f>
              <c:numCache>
                <c:formatCode>0</c:formatCode>
                <c:ptCount val="26"/>
                <c:pt idx="0">
                  <c:v>45.42300000000001</c:v>
                </c:pt>
                <c:pt idx="1">
                  <c:v>46.33146000000001</c:v>
                </c:pt>
                <c:pt idx="2">
                  <c:v>47.0264319</c:v>
                </c:pt>
                <c:pt idx="3">
                  <c:v>47.49669621900001</c:v>
                </c:pt>
                <c:pt idx="4">
                  <c:v>47.781676396314</c:v>
                </c:pt>
                <c:pt idx="5">
                  <c:v>48.0683664546919</c:v>
                </c:pt>
                <c:pt idx="6">
                  <c:v>48.35677665342004</c:v>
                </c:pt>
                <c:pt idx="7">
                  <c:v>48.64691731334056</c:v>
                </c:pt>
                <c:pt idx="8">
                  <c:v>48.9387988172206</c:v>
                </c:pt>
                <c:pt idx="9">
                  <c:v>48.9387988172206</c:v>
                </c:pt>
                <c:pt idx="10">
                  <c:v>48.9387988172206</c:v>
                </c:pt>
                <c:pt idx="11">
                  <c:v>48.9387988172206</c:v>
                </c:pt>
                <c:pt idx="12">
                  <c:v>48.9387988172206</c:v>
                </c:pt>
                <c:pt idx="13">
                  <c:v>48.9387988172206</c:v>
                </c:pt>
                <c:pt idx="14">
                  <c:v>48.9387988172206</c:v>
                </c:pt>
                <c:pt idx="15">
                  <c:v>48.9387988172206</c:v>
                </c:pt>
                <c:pt idx="16">
                  <c:v>48.9387988172206</c:v>
                </c:pt>
                <c:pt idx="17">
                  <c:v>48.9387988172206</c:v>
                </c:pt>
                <c:pt idx="18">
                  <c:v>48.9387988172206</c:v>
                </c:pt>
                <c:pt idx="19">
                  <c:v>48.9387988172206</c:v>
                </c:pt>
                <c:pt idx="20">
                  <c:v>48.9387988172206</c:v>
                </c:pt>
                <c:pt idx="21">
                  <c:v>48.9387988172206</c:v>
                </c:pt>
                <c:pt idx="22">
                  <c:v>48.9387988172206</c:v>
                </c:pt>
                <c:pt idx="23">
                  <c:v>48.9387988172206</c:v>
                </c:pt>
                <c:pt idx="24">
                  <c:v>48.9387988172206</c:v>
                </c:pt>
                <c:pt idx="25">
                  <c:v>48.9387988172206</c:v>
                </c:pt>
              </c:numCache>
            </c:numRef>
          </c:val>
        </c:ser>
        <c:ser>
          <c:idx val="1"/>
          <c:order val="3"/>
          <c:tx>
            <c:strRef>
              <c:f>'100MW'!$N$3:$O$3</c:f>
              <c:strCache>
                <c:ptCount val="1"/>
                <c:pt idx="0">
                  <c:v>1823B-1%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numRef>
              <c:f>'100MW'!$B$6:$B$31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'100MW'!$N$6:$N$31</c:f>
              <c:numCache>
                <c:formatCode>0</c:formatCode>
                <c:ptCount val="26"/>
                <c:pt idx="0">
                  <c:v>45.42300000000001</c:v>
                </c:pt>
                <c:pt idx="1">
                  <c:v>46.33146000000001</c:v>
                </c:pt>
                <c:pt idx="2">
                  <c:v>47.0264319</c:v>
                </c:pt>
                <c:pt idx="3">
                  <c:v>47.49669621900001</c:v>
                </c:pt>
                <c:pt idx="4">
                  <c:v>47.781676396314</c:v>
                </c:pt>
                <c:pt idx="5">
                  <c:v>48.0683664546919</c:v>
                </c:pt>
                <c:pt idx="6">
                  <c:v>48.35677665342004</c:v>
                </c:pt>
                <c:pt idx="7">
                  <c:v>48.64691731334056</c:v>
                </c:pt>
                <c:pt idx="8">
                  <c:v>48.9387988172206</c:v>
                </c:pt>
                <c:pt idx="9">
                  <c:v>49.42818680539281</c:v>
                </c:pt>
                <c:pt idx="10">
                  <c:v>49.92246867344674</c:v>
                </c:pt>
                <c:pt idx="11">
                  <c:v>50.4216933601812</c:v>
                </c:pt>
                <c:pt idx="12">
                  <c:v>50.92591029378301</c:v>
                </c:pt>
                <c:pt idx="13">
                  <c:v>51.43516939672084</c:v>
                </c:pt>
                <c:pt idx="14">
                  <c:v>51.94952109068805</c:v>
                </c:pt>
                <c:pt idx="15">
                  <c:v>52.46901630159493</c:v>
                </c:pt>
                <c:pt idx="16">
                  <c:v>52.99370646461088</c:v>
                </c:pt>
                <c:pt idx="17">
                  <c:v>53.52364352925699</c:v>
                </c:pt>
                <c:pt idx="18">
                  <c:v>54.05887996454956</c:v>
                </c:pt>
                <c:pt idx="19">
                  <c:v>54.59946876419506</c:v>
                </c:pt>
                <c:pt idx="20">
                  <c:v>55.14546345183701</c:v>
                </c:pt>
                <c:pt idx="21">
                  <c:v>55.69691808635538</c:v>
                </c:pt>
                <c:pt idx="22">
                  <c:v>56.25388726721894</c:v>
                </c:pt>
                <c:pt idx="23">
                  <c:v>56.81642613989113</c:v>
                </c:pt>
                <c:pt idx="24">
                  <c:v>57.38459040129004</c:v>
                </c:pt>
                <c:pt idx="25">
                  <c:v>57.95843630530294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3823824"/>
        <c:axId val="-1372950816"/>
      </c:barChart>
      <c:lineChart>
        <c:grouping val="standard"/>
        <c:varyColors val="0"/>
        <c:ser>
          <c:idx val="2"/>
          <c:order val="4"/>
          <c:tx>
            <c:strRef>
              <c:f>'100MW'!$C$3:$D$3</c:f>
              <c:strCache>
                <c:ptCount val="1"/>
                <c:pt idx="0">
                  <c:v>100 MW - Cranbrook - High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'100MW'!$B$6:$B$31</c:f>
              <c:numCache>
                <c:formatCode>General</c:formatCode>
                <c:ptCount val="26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  <c:pt idx="5">
                  <c:v>2022.0</c:v>
                </c:pt>
                <c:pt idx="6">
                  <c:v>2023.0</c:v>
                </c:pt>
                <c:pt idx="7">
                  <c:v>2024.0</c:v>
                </c:pt>
                <c:pt idx="8">
                  <c:v>2025.0</c:v>
                </c:pt>
                <c:pt idx="9">
                  <c:v>2026.0</c:v>
                </c:pt>
                <c:pt idx="10">
                  <c:v>2027.0</c:v>
                </c:pt>
                <c:pt idx="11">
                  <c:v>2028.0</c:v>
                </c:pt>
                <c:pt idx="12">
                  <c:v>2029.0</c:v>
                </c:pt>
                <c:pt idx="13">
                  <c:v>2030.0</c:v>
                </c:pt>
                <c:pt idx="14">
                  <c:v>2031.0</c:v>
                </c:pt>
                <c:pt idx="15">
                  <c:v>2032.0</c:v>
                </c:pt>
                <c:pt idx="16">
                  <c:v>2033.0</c:v>
                </c:pt>
                <c:pt idx="17">
                  <c:v>2034.0</c:v>
                </c:pt>
                <c:pt idx="18">
                  <c:v>2035.0</c:v>
                </c:pt>
                <c:pt idx="19">
                  <c:v>2036.0</c:v>
                </c:pt>
                <c:pt idx="20">
                  <c:v>2037.0</c:v>
                </c:pt>
                <c:pt idx="21">
                  <c:v>2038.0</c:v>
                </c:pt>
                <c:pt idx="22">
                  <c:v>2039.0</c:v>
                </c:pt>
                <c:pt idx="23">
                  <c:v>2040.0</c:v>
                </c:pt>
                <c:pt idx="24">
                  <c:v>2041.0</c:v>
                </c:pt>
                <c:pt idx="25">
                  <c:v>2042.0</c:v>
                </c:pt>
              </c:numCache>
            </c:numRef>
          </c:cat>
          <c:val>
            <c:numRef>
              <c:f>'100MW'!$C$6:$C$31</c:f>
              <c:numCache>
                <c:formatCode>0</c:formatCode>
                <c:ptCount val="26"/>
                <c:pt idx="0">
                  <c:v>78.82022471910111</c:v>
                </c:pt>
                <c:pt idx="1">
                  <c:v>71.0540624847606</c:v>
                </c:pt>
                <c:pt idx="2">
                  <c:v>66.50343736143829</c:v>
                </c:pt>
                <c:pt idx="3">
                  <c:v>63.73496879722418</c:v>
                </c:pt>
                <c:pt idx="4">
                  <c:v>62.01037572411355</c:v>
                </c:pt>
                <c:pt idx="5">
                  <c:v>60.91972277182649</c:v>
                </c:pt>
                <c:pt idx="6">
                  <c:v>60.22326708087916</c:v>
                </c:pt>
                <c:pt idx="7">
                  <c:v>59.77574626388594</c:v>
                </c:pt>
                <c:pt idx="8">
                  <c:v>59.48701933381915</c:v>
                </c:pt>
                <c:pt idx="9">
                  <c:v>59.30025331910615</c:v>
                </c:pt>
                <c:pt idx="10">
                  <c:v>59.17923655158037</c:v>
                </c:pt>
                <c:pt idx="11">
                  <c:v>59.10073617962033</c:v>
                </c:pt>
                <c:pt idx="12">
                  <c:v>59.04977862206616</c:v>
                </c:pt>
                <c:pt idx="13">
                  <c:v>59.01668476830591</c:v>
                </c:pt>
                <c:pt idx="14">
                  <c:v>58.99518581898784</c:v>
                </c:pt>
                <c:pt idx="15">
                  <c:v>58.98121659257852</c:v>
                </c:pt>
                <c:pt idx="16">
                  <c:v>58.9721387454275</c:v>
                </c:pt>
                <c:pt idx="17">
                  <c:v>58.96623905294558</c:v>
                </c:pt>
                <c:pt idx="18">
                  <c:v>58.96240463647353</c:v>
                </c:pt>
                <c:pt idx="19">
                  <c:v>58.95991242783888</c:v>
                </c:pt>
                <c:pt idx="20">
                  <c:v>58.9582925606974</c:v>
                </c:pt>
                <c:pt idx="21">
                  <c:v>58.95723967598323</c:v>
                </c:pt>
                <c:pt idx="22">
                  <c:v>58.95655531314068</c:v>
                </c:pt>
                <c:pt idx="23">
                  <c:v>58.95611048245658</c:v>
                </c:pt>
                <c:pt idx="24">
                  <c:v>58.95582134469349</c:v>
                </c:pt>
                <c:pt idx="25">
                  <c:v>58.95563340606919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'100MW'!$E$3:$F$3</c:f>
              <c:strCache>
                <c:ptCount val="1"/>
                <c:pt idx="0">
                  <c:v>100 MW - Cranbrook - Low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'100MW'!$E$6:$E$31</c:f>
              <c:numCache>
                <c:formatCode>0</c:formatCode>
                <c:ptCount val="26"/>
                <c:pt idx="0">
                  <c:v>78.82022471910111</c:v>
                </c:pt>
                <c:pt idx="1">
                  <c:v>69.02291236193309</c:v>
                </c:pt>
                <c:pt idx="2">
                  <c:v>61.98771285077412</c:v>
                </c:pt>
                <c:pt idx="3">
                  <c:v>56.80684394764399</c:v>
                </c:pt>
                <c:pt idx="4">
                  <c:v>52.91360101026557</c:v>
                </c:pt>
                <c:pt idx="5">
                  <c:v>49.9399362003747</c:v>
                </c:pt>
                <c:pt idx="6">
                  <c:v>47.63856575870094</c:v>
                </c:pt>
                <c:pt idx="7">
                  <c:v>45.83840588107606</c:v>
                </c:pt>
                <c:pt idx="8">
                  <c:v>44.41805462990121</c:v>
                </c:pt>
                <c:pt idx="9">
                  <c:v>43.28945568825716</c:v>
                </c:pt>
                <c:pt idx="10">
                  <c:v>42.38751893955037</c:v>
                </c:pt>
                <c:pt idx="11">
                  <c:v>41.66334014043153</c:v>
                </c:pt>
                <c:pt idx="12">
                  <c:v>41.07965888529536</c:v>
                </c:pt>
                <c:pt idx="13">
                  <c:v>40.6077454487372</c:v>
                </c:pt>
                <c:pt idx="14">
                  <c:v>40.22522183960832</c:v>
                </c:pt>
                <c:pt idx="15">
                  <c:v>39.91450723503793</c:v>
                </c:pt>
                <c:pt idx="16">
                  <c:v>39.66168932112019</c:v>
                </c:pt>
                <c:pt idx="17">
                  <c:v>39.45569173462837</c:v>
                </c:pt>
                <c:pt idx="18">
                  <c:v>39.28765105164052</c:v>
                </c:pt>
                <c:pt idx="19">
                  <c:v>39.15044454964103</c:v>
                </c:pt>
                <c:pt idx="20">
                  <c:v>39.03832814075002</c:v>
                </c:pt>
                <c:pt idx="21">
                  <c:v>38.94665596403045</c:v>
                </c:pt>
                <c:pt idx="22">
                  <c:v>38.87166130066923</c:v>
                </c:pt>
                <c:pt idx="23">
                  <c:v>38.81028409108013</c:v>
                </c:pt>
                <c:pt idx="24">
                  <c:v>38.76003424771982</c:v>
                </c:pt>
                <c:pt idx="25">
                  <c:v>38.71888272641392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3823824"/>
        <c:axId val="-1372950816"/>
      </c:lineChart>
      <c:catAx>
        <c:axId val="-137382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Year</a:t>
                </a:r>
              </a:p>
            </c:rich>
          </c:tx>
          <c:layout>
            <c:manualLayout>
              <c:xMode val="edge"/>
              <c:yMode val="edge"/>
              <c:x val="0.458702334844214"/>
              <c:y val="0.9192750087138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372950816"/>
        <c:crosses val="autoZero"/>
        <c:auto val="1"/>
        <c:lblAlgn val="ctr"/>
        <c:lblOffset val="100"/>
        <c:tickLblSkip val="2"/>
        <c:noMultiLvlLbl val="0"/>
      </c:catAx>
      <c:valAx>
        <c:axId val="-1372950816"/>
        <c:scaling>
          <c:orientation val="minMax"/>
        </c:scaling>
        <c:delete val="0"/>
        <c:axPos val="l"/>
        <c:majorGridlines/>
        <c:title>
          <c:tx>
            <c:rich>
              <a:bodyPr rot="-5400000" vert="horz" lIns="0" anchor="t" anchorCtr="1">
                <a:noAutofit/>
              </a:bodyPr>
              <a:lstStyle/>
              <a:p>
                <a:pPr>
                  <a:defRPr sz="1800"/>
                </a:pPr>
                <a:r>
                  <a:rPr lang="en-US" sz="1800"/>
                  <a:t>$/MWh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 i="0">
                <a:solidFill>
                  <a:schemeClr val="tx1"/>
                </a:solidFill>
              </a:defRPr>
            </a:pPr>
            <a:endParaRPr lang="en-US"/>
          </a:p>
        </c:txPr>
        <c:crossAx val="-13738238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 b="1" i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2</xdr:row>
      <xdr:rowOff>25400</xdr:rowOff>
    </xdr:from>
    <xdr:to>
      <xdr:col>26</xdr:col>
      <xdr:colOff>579966</xdr:colOff>
      <xdr:row>31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67734</xdr:colOff>
      <xdr:row>2</xdr:row>
      <xdr:rowOff>0</xdr:rowOff>
    </xdr:from>
    <xdr:to>
      <xdr:col>23</xdr:col>
      <xdr:colOff>12700</xdr:colOff>
      <xdr:row>31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804334</xdr:colOff>
      <xdr:row>1</xdr:row>
      <xdr:rowOff>182032</xdr:rowOff>
    </xdr:from>
    <xdr:to>
      <xdr:col>22</xdr:col>
      <xdr:colOff>622300</xdr:colOff>
      <xdr:row>30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169334</xdr:colOff>
      <xdr:row>2</xdr:row>
      <xdr:rowOff>156632</xdr:rowOff>
    </xdr:from>
    <xdr:to>
      <xdr:col>27</xdr:col>
      <xdr:colOff>38100</xdr:colOff>
      <xdr:row>28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29634</xdr:colOff>
      <xdr:row>2</xdr:row>
      <xdr:rowOff>42332</xdr:rowOff>
    </xdr:from>
    <xdr:to>
      <xdr:col>28</xdr:col>
      <xdr:colOff>279400</xdr:colOff>
      <xdr:row>31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amerado/Library/Containers/com.apple.mail/Data/Library/Mail%20Downloads/6125989C-9A1B-48D6-B615-9ECB8AD563F4/BCUC%20energy%20and%20capacity%20balance%20update%20PR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amerado/Library/Containers/com.apple.mail/Data/Library/Mail%20Downloads/D67D5723-2D8D-492B-865A-3A296486FB6D/BCUC%20energy%20and%20capacity%20balance%20update%20PR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P with Expected LNG"/>
      <sheetName val="IRP Capacity chart with LNG"/>
      <sheetName val="IRP Energy chart with LNG"/>
      <sheetName val="LNG scenarios"/>
      <sheetName val="Table 14"/>
      <sheetName val="GHG costs"/>
      <sheetName val="load forecast charts (only)"/>
      <sheetName val="Site C Costs"/>
      <sheetName val="Deloitte"/>
      <sheetName val="DSM costs"/>
      <sheetName val="RRA"/>
      <sheetName val="NPV summary"/>
      <sheetName val="RRA Energy chart"/>
      <sheetName val="RRA Capacity chart"/>
      <sheetName val="price forecast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J6" t="str">
            <v>yes</v>
          </cell>
        </row>
        <row r="290">
          <cell r="G290" t="str">
            <v>medium</v>
          </cell>
        </row>
        <row r="293">
          <cell r="G293">
            <v>2024</v>
          </cell>
        </row>
        <row r="297">
          <cell r="G297" t="str">
            <v>medium</v>
          </cell>
        </row>
        <row r="307">
          <cell r="G307" t="str">
            <v>no</v>
          </cell>
        </row>
        <row r="309">
          <cell r="G309" t="str">
            <v>yes</v>
          </cell>
        </row>
      </sheetData>
      <sheetData sheetId="1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P with Expected LNG"/>
      <sheetName val="Chart1"/>
      <sheetName val="Chart2"/>
      <sheetName val="LNG scenarios"/>
      <sheetName val="Table 14"/>
      <sheetName val="GHG costs"/>
      <sheetName val="load forecast charts (only)"/>
      <sheetName val="Site C Costs"/>
      <sheetName val="Deloitte"/>
      <sheetName val="DSM costs"/>
      <sheetName val="DSM costs2"/>
      <sheetName val="RRA"/>
      <sheetName val="NPV summary"/>
      <sheetName val="Chart3"/>
      <sheetName val="Chart4"/>
      <sheetName val="price forecast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J6" t="str">
            <v>no</v>
          </cell>
        </row>
        <row r="292">
          <cell r="G292" t="str">
            <v>medium</v>
          </cell>
        </row>
      </sheetData>
      <sheetData sheetId="12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V46"/>
  <sheetViews>
    <sheetView workbookViewId="0">
      <selection activeCell="J28" sqref="J28"/>
    </sheetView>
  </sheetViews>
  <sheetFormatPr baseColWidth="10" defaultColWidth="11" defaultRowHeight="16" x14ac:dyDescent="0.2"/>
  <cols>
    <col min="1" max="1" width="2.83203125" customWidth="1"/>
    <col min="2" max="2" width="21.33203125" bestFit="1" customWidth="1"/>
    <col min="3" max="3" width="10.5" bestFit="1" customWidth="1"/>
    <col min="4" max="6" width="11.1640625" bestFit="1" customWidth="1"/>
    <col min="7" max="7" width="13.5" bestFit="1" customWidth="1"/>
    <col min="8" max="8" width="2.83203125" style="13" customWidth="1"/>
    <col min="9" max="9" width="13.1640625" bestFit="1" customWidth="1"/>
    <col min="10" max="10" width="10.5" bestFit="1" customWidth="1"/>
    <col min="11" max="14" width="11.1640625" bestFit="1" customWidth="1"/>
    <col min="15" max="15" width="2.83203125" customWidth="1"/>
    <col min="16" max="16" width="13.6640625" customWidth="1"/>
    <col min="17" max="19" width="12.83203125" customWidth="1"/>
    <col min="20" max="20" width="13.83203125" customWidth="1"/>
    <col min="21" max="22" width="12.83203125" customWidth="1"/>
  </cols>
  <sheetData>
    <row r="1" spans="2:22" ht="21" x14ac:dyDescent="0.35">
      <c r="B1" s="18" t="s">
        <v>66</v>
      </c>
    </row>
    <row r="2" spans="2:22" ht="21" x14ac:dyDescent="0.35">
      <c r="C2" s="18"/>
    </row>
    <row r="3" spans="2:22" ht="16.5" thickBot="1" x14ac:dyDescent="0.3">
      <c r="B3" s="1" t="s">
        <v>48</v>
      </c>
      <c r="I3" s="1" t="s">
        <v>81</v>
      </c>
      <c r="P3" s="112" t="s">
        <v>80</v>
      </c>
    </row>
    <row r="4" spans="2:22" x14ac:dyDescent="0.2">
      <c r="B4" s="23"/>
      <c r="C4" s="24" t="s">
        <v>8</v>
      </c>
      <c r="D4" s="24" t="s">
        <v>9</v>
      </c>
      <c r="E4" s="24" t="s">
        <v>9</v>
      </c>
      <c r="F4" s="24" t="s">
        <v>21</v>
      </c>
      <c r="G4" s="25" t="s">
        <v>21</v>
      </c>
      <c r="I4" s="23"/>
      <c r="J4" s="24" t="s">
        <v>8</v>
      </c>
      <c r="K4" s="24" t="s">
        <v>9</v>
      </c>
      <c r="L4" s="25" t="s">
        <v>61</v>
      </c>
      <c r="P4" s="47"/>
      <c r="Q4" s="24" t="s">
        <v>8</v>
      </c>
      <c r="R4" s="24" t="s">
        <v>9</v>
      </c>
      <c r="S4" s="24" t="s">
        <v>9</v>
      </c>
      <c r="T4" s="24" t="s">
        <v>61</v>
      </c>
      <c r="U4" s="24" t="s">
        <v>61</v>
      </c>
      <c r="V4" s="25" t="s">
        <v>60</v>
      </c>
    </row>
    <row r="5" spans="2:22" x14ac:dyDescent="0.2">
      <c r="B5" s="29"/>
      <c r="C5" s="27" t="s">
        <v>23</v>
      </c>
      <c r="D5" s="27" t="s">
        <v>24</v>
      </c>
      <c r="E5" s="27" t="s">
        <v>31</v>
      </c>
      <c r="F5" s="27" t="s">
        <v>13</v>
      </c>
      <c r="G5" s="28" t="s">
        <v>25</v>
      </c>
      <c r="I5" s="29"/>
      <c r="J5" s="27" t="s">
        <v>23</v>
      </c>
      <c r="K5" s="27" t="s">
        <v>24</v>
      </c>
      <c r="L5" s="28" t="s">
        <v>12</v>
      </c>
      <c r="P5" s="29"/>
      <c r="Q5" s="27" t="s">
        <v>23</v>
      </c>
      <c r="R5" s="27" t="s">
        <v>24</v>
      </c>
      <c r="S5" s="27" t="s">
        <v>31</v>
      </c>
      <c r="T5" s="27" t="s">
        <v>13</v>
      </c>
      <c r="U5" s="27" t="s">
        <v>12</v>
      </c>
      <c r="V5" s="28" t="s">
        <v>17</v>
      </c>
    </row>
    <row r="6" spans="2:22" ht="17" thickBot="1" x14ac:dyDescent="0.25">
      <c r="B6" s="32" t="s">
        <v>0</v>
      </c>
      <c r="C6" s="33" t="s">
        <v>22</v>
      </c>
      <c r="D6" s="33" t="s">
        <v>22</v>
      </c>
      <c r="E6" s="33" t="s">
        <v>22</v>
      </c>
      <c r="F6" s="33" t="s">
        <v>22</v>
      </c>
      <c r="G6" s="34" t="s">
        <v>22</v>
      </c>
      <c r="I6" s="32" t="s">
        <v>65</v>
      </c>
      <c r="J6" s="33" t="s">
        <v>62</v>
      </c>
      <c r="K6" s="33" t="s">
        <v>62</v>
      </c>
      <c r="L6" s="34" t="s">
        <v>62</v>
      </c>
      <c r="P6" s="32" t="s">
        <v>65</v>
      </c>
      <c r="Q6" s="33" t="s">
        <v>64</v>
      </c>
      <c r="R6" s="33" t="s">
        <v>64</v>
      </c>
      <c r="S6" s="33" t="s">
        <v>64</v>
      </c>
      <c r="T6" s="33" t="s">
        <v>64</v>
      </c>
      <c r="U6" s="33" t="s">
        <v>64</v>
      </c>
      <c r="V6" s="34" t="s">
        <v>15</v>
      </c>
    </row>
    <row r="7" spans="2:22" x14ac:dyDescent="0.2">
      <c r="B7" s="23">
        <v>2010</v>
      </c>
      <c r="C7" s="61">
        <v>7.24</v>
      </c>
      <c r="D7" s="61">
        <v>5.36</v>
      </c>
      <c r="E7" s="62">
        <f t="shared" ref="E7:E12" si="0">0.2*(G7-D7)+D7</f>
        <v>5.3760000000000003</v>
      </c>
      <c r="F7" s="62">
        <f t="shared" ref="F7:F12" si="1">AVERAGE(D7,G7)</f>
        <v>5.4</v>
      </c>
      <c r="G7" s="63">
        <v>5.44</v>
      </c>
      <c r="I7" s="104" t="s">
        <v>47</v>
      </c>
      <c r="J7" s="152">
        <v>129</v>
      </c>
      <c r="K7" s="152">
        <v>92</v>
      </c>
      <c r="L7" s="153">
        <v>44</v>
      </c>
      <c r="P7" s="104" t="s">
        <v>47</v>
      </c>
      <c r="Q7" s="105">
        <f t="shared" ref="Q7:U9" si="2">J15</f>
        <v>161.25</v>
      </c>
      <c r="R7" s="105">
        <f t="shared" si="2"/>
        <v>115</v>
      </c>
      <c r="S7" s="105">
        <f t="shared" si="2"/>
        <v>103</v>
      </c>
      <c r="T7" s="105">
        <f t="shared" si="2"/>
        <v>85</v>
      </c>
      <c r="U7" s="105">
        <f t="shared" si="2"/>
        <v>55</v>
      </c>
      <c r="V7" s="154">
        <v>6.5</v>
      </c>
    </row>
    <row r="8" spans="2:22" x14ac:dyDescent="0.2">
      <c r="B8" s="29">
        <v>2011</v>
      </c>
      <c r="C8" s="59">
        <v>6.34</v>
      </c>
      <c r="D8" s="59">
        <v>4.97</v>
      </c>
      <c r="E8" s="60">
        <f t="shared" si="0"/>
        <v>4.8940000000000001</v>
      </c>
      <c r="F8" s="60">
        <f t="shared" si="1"/>
        <v>4.7799999999999994</v>
      </c>
      <c r="G8" s="64">
        <v>4.59</v>
      </c>
      <c r="I8" s="100" t="s">
        <v>16</v>
      </c>
      <c r="J8" s="97">
        <v>157</v>
      </c>
      <c r="K8" s="97">
        <v>113</v>
      </c>
      <c r="L8" s="149">
        <v>56</v>
      </c>
      <c r="P8" s="100" t="s">
        <v>16</v>
      </c>
      <c r="Q8" s="96">
        <f t="shared" si="2"/>
        <v>196.25</v>
      </c>
      <c r="R8" s="96">
        <f t="shared" si="2"/>
        <v>141.25</v>
      </c>
      <c r="S8" s="96">
        <f t="shared" si="2"/>
        <v>127</v>
      </c>
      <c r="T8" s="96">
        <f t="shared" si="2"/>
        <v>105.625</v>
      </c>
      <c r="U8" s="96">
        <f t="shared" si="2"/>
        <v>70</v>
      </c>
      <c r="V8" s="64">
        <v>4.9000000000000004</v>
      </c>
    </row>
    <row r="9" spans="2:22" ht="17" customHeight="1" thickBot="1" x14ac:dyDescent="0.25">
      <c r="B9" s="29">
        <v>2012</v>
      </c>
      <c r="C9" s="59">
        <v>4.4800000000000004</v>
      </c>
      <c r="D9" s="59">
        <v>3.42</v>
      </c>
      <c r="E9" s="60">
        <f t="shared" si="0"/>
        <v>3.3660000000000001</v>
      </c>
      <c r="F9" s="60">
        <f t="shared" si="1"/>
        <v>3.2850000000000001</v>
      </c>
      <c r="G9" s="64">
        <v>3.15</v>
      </c>
      <c r="I9" s="73" t="s">
        <v>59</v>
      </c>
      <c r="J9" s="150">
        <v>167</v>
      </c>
      <c r="K9" s="150">
        <v>120</v>
      </c>
      <c r="L9" s="151">
        <v>61</v>
      </c>
      <c r="P9" s="72" t="s">
        <v>59</v>
      </c>
      <c r="Q9" s="96">
        <f t="shared" si="2"/>
        <v>208.75</v>
      </c>
      <c r="R9" s="96">
        <f t="shared" si="2"/>
        <v>150</v>
      </c>
      <c r="S9" s="96">
        <f t="shared" si="2"/>
        <v>135.25</v>
      </c>
      <c r="T9" s="96">
        <f t="shared" si="2"/>
        <v>113.125</v>
      </c>
      <c r="U9" s="96">
        <f t="shared" si="2"/>
        <v>76.25</v>
      </c>
      <c r="V9" s="64">
        <v>4.5999999999999996</v>
      </c>
    </row>
    <row r="10" spans="2:22" ht="17" thickBot="1" x14ac:dyDescent="0.25">
      <c r="B10" s="29">
        <v>2013</v>
      </c>
      <c r="C10" s="59">
        <v>3.92</v>
      </c>
      <c r="D10" s="59">
        <v>2.78</v>
      </c>
      <c r="E10" s="60">
        <f t="shared" si="0"/>
        <v>2.702</v>
      </c>
      <c r="F10" s="60">
        <f t="shared" si="1"/>
        <v>2.585</v>
      </c>
      <c r="G10" s="64">
        <v>2.39</v>
      </c>
      <c r="I10" s="16"/>
      <c r="J10" s="88"/>
      <c r="K10" s="88"/>
      <c r="L10" s="88"/>
      <c r="M10" s="3"/>
      <c r="P10" s="73" t="s">
        <v>14</v>
      </c>
      <c r="Q10" s="101">
        <f>Q9/($V10/$V9)</f>
        <v>215.78651685393257</v>
      </c>
      <c r="R10" s="101">
        <f>R9/($V10/$V9)</f>
        <v>155.0561797752809</v>
      </c>
      <c r="S10" s="101">
        <f>S9/($V10/$V9)</f>
        <v>139.80898876404493</v>
      </c>
      <c r="T10" s="101">
        <f>T9/($V10/$V9)</f>
        <v>116.938202247191</v>
      </c>
      <c r="U10" s="101">
        <f>U9/($V10/$V9)</f>
        <v>78.82022471910112</v>
      </c>
      <c r="V10" s="66">
        <v>4.45</v>
      </c>
    </row>
    <row r="11" spans="2:22" ht="17" thickBot="1" x14ac:dyDescent="0.25">
      <c r="B11" s="29">
        <v>2014</v>
      </c>
      <c r="C11" s="59">
        <v>3.44</v>
      </c>
      <c r="D11" s="59">
        <v>2.76</v>
      </c>
      <c r="E11" s="60">
        <f t="shared" si="0"/>
        <v>2.6379999999999999</v>
      </c>
      <c r="F11" s="60">
        <f t="shared" si="1"/>
        <v>2.4550000000000001</v>
      </c>
      <c r="G11" s="64">
        <v>2.15</v>
      </c>
      <c r="I11" s="2" t="s">
        <v>63</v>
      </c>
      <c r="J11" s="88">
        <v>1.25</v>
      </c>
      <c r="K11" s="88"/>
      <c r="L11" s="88"/>
      <c r="M11" s="3"/>
    </row>
    <row r="12" spans="2:22" ht="17" thickBot="1" x14ac:dyDescent="0.25">
      <c r="B12" s="29">
        <v>2015</v>
      </c>
      <c r="C12" s="59">
        <v>3.18</v>
      </c>
      <c r="D12" s="59">
        <v>2.27</v>
      </c>
      <c r="E12" s="60">
        <f t="shared" si="0"/>
        <v>2.21</v>
      </c>
      <c r="F12" s="60">
        <f t="shared" si="1"/>
        <v>2.12</v>
      </c>
      <c r="G12" s="64">
        <v>1.97</v>
      </c>
      <c r="I12" s="47"/>
      <c r="J12" s="24" t="s">
        <v>8</v>
      </c>
      <c r="K12" s="24" t="s">
        <v>9</v>
      </c>
      <c r="L12" s="24" t="s">
        <v>9</v>
      </c>
      <c r="M12" s="24" t="s">
        <v>61</v>
      </c>
      <c r="N12" s="25" t="s">
        <v>61</v>
      </c>
      <c r="P12" s="112" t="s">
        <v>84</v>
      </c>
    </row>
    <row r="13" spans="2:22" x14ac:dyDescent="0.2">
      <c r="B13" s="29">
        <v>2016</v>
      </c>
      <c r="C13" s="59">
        <v>2.98</v>
      </c>
      <c r="D13" s="59">
        <v>2.17</v>
      </c>
      <c r="E13" s="59">
        <v>2.0299999999999998</v>
      </c>
      <c r="F13" s="59">
        <v>1.92</v>
      </c>
      <c r="G13" s="64">
        <v>1.54</v>
      </c>
      <c r="I13" s="29"/>
      <c r="J13" s="27" t="s">
        <v>23</v>
      </c>
      <c r="K13" s="27" t="s">
        <v>24</v>
      </c>
      <c r="L13" s="27" t="s">
        <v>31</v>
      </c>
      <c r="M13" s="27" t="s">
        <v>13</v>
      </c>
      <c r="N13" s="28" t="s">
        <v>12</v>
      </c>
      <c r="P13" s="47"/>
      <c r="Q13" s="24" t="s">
        <v>8</v>
      </c>
      <c r="R13" s="24" t="s">
        <v>9</v>
      </c>
      <c r="S13" s="24" t="s">
        <v>9</v>
      </c>
      <c r="T13" s="24" t="s">
        <v>61</v>
      </c>
      <c r="U13" s="25" t="s">
        <v>61</v>
      </c>
    </row>
    <row r="14" spans="2:22" ht="17" thickBot="1" x14ac:dyDescent="0.25">
      <c r="B14" s="30">
        <v>2017</v>
      </c>
      <c r="C14" s="65">
        <v>2.8</v>
      </c>
      <c r="D14" s="65">
        <v>1.85</v>
      </c>
      <c r="E14" s="65">
        <v>1.74</v>
      </c>
      <c r="F14" s="65">
        <v>1.49</v>
      </c>
      <c r="G14" s="66">
        <v>1.1100000000000001</v>
      </c>
      <c r="I14" s="32" t="s">
        <v>65</v>
      </c>
      <c r="J14" s="33" t="s">
        <v>64</v>
      </c>
      <c r="K14" s="33" t="s">
        <v>64</v>
      </c>
      <c r="L14" s="33" t="s">
        <v>64</v>
      </c>
      <c r="M14" s="33" t="s">
        <v>64</v>
      </c>
      <c r="N14" s="34" t="s">
        <v>64</v>
      </c>
      <c r="P14" s="29"/>
      <c r="Q14" s="27" t="s">
        <v>23</v>
      </c>
      <c r="R14" s="27" t="s">
        <v>24</v>
      </c>
      <c r="S14" s="27" t="s">
        <v>31</v>
      </c>
      <c r="T14" s="27" t="s">
        <v>13</v>
      </c>
      <c r="U14" s="28" t="s">
        <v>12</v>
      </c>
    </row>
    <row r="15" spans="2:22" ht="17" thickBot="1" x14ac:dyDescent="0.25">
      <c r="B15" s="109" t="s">
        <v>57</v>
      </c>
      <c r="C15" s="89">
        <f t="shared" ref="C15:G16" si="3">(C$14-C11)/C11</f>
        <v>-0.186046511627907</v>
      </c>
      <c r="D15" s="89">
        <f t="shared" si="3"/>
        <v>-0.32971014492753614</v>
      </c>
      <c r="E15" s="89">
        <f t="shared" si="3"/>
        <v>-0.34040940106141016</v>
      </c>
      <c r="F15" s="89">
        <f t="shared" si="3"/>
        <v>-0.39307535641547864</v>
      </c>
      <c r="G15" s="90">
        <f t="shared" si="3"/>
        <v>-0.48372093023255808</v>
      </c>
      <c r="I15" s="104" t="s">
        <v>47</v>
      </c>
      <c r="J15" s="105">
        <f t="shared" ref="J15:K17" si="4">J7*$J$11</f>
        <v>161.25</v>
      </c>
      <c r="K15" s="105">
        <f t="shared" si="4"/>
        <v>115</v>
      </c>
      <c r="L15" s="106">
        <f>0.2*(N15-K15)+K15</f>
        <v>103</v>
      </c>
      <c r="M15" s="106">
        <f>AVERAGE(K15,N15)</f>
        <v>85</v>
      </c>
      <c r="N15" s="107">
        <f>L7*$J$11</f>
        <v>55</v>
      </c>
      <c r="P15" s="32" t="s">
        <v>14</v>
      </c>
      <c r="Q15" s="33" t="s">
        <v>64</v>
      </c>
      <c r="R15" s="33" t="s">
        <v>64</v>
      </c>
      <c r="S15" s="33" t="s">
        <v>64</v>
      </c>
      <c r="T15" s="33" t="s">
        <v>64</v>
      </c>
      <c r="U15" s="34" t="s">
        <v>64</v>
      </c>
    </row>
    <row r="16" spans="2:22" x14ac:dyDescent="0.2">
      <c r="B16" s="110" t="s">
        <v>56</v>
      </c>
      <c r="C16" s="91">
        <f t="shared" si="3"/>
        <v>-0.11949685534591205</v>
      </c>
      <c r="D16" s="91">
        <f t="shared" si="3"/>
        <v>-0.18502202643171803</v>
      </c>
      <c r="E16" s="91">
        <f t="shared" si="3"/>
        <v>-0.21266968325791855</v>
      </c>
      <c r="F16" s="91">
        <f t="shared" si="3"/>
        <v>-0.29716981132075476</v>
      </c>
      <c r="G16" s="92">
        <f t="shared" si="3"/>
        <v>-0.43654822335025373</v>
      </c>
      <c r="I16" s="100" t="s">
        <v>16</v>
      </c>
      <c r="J16" s="96">
        <f t="shared" si="4"/>
        <v>196.25</v>
      </c>
      <c r="K16" s="96">
        <f t="shared" si="4"/>
        <v>141.25</v>
      </c>
      <c r="L16" s="98">
        <f>0.2*(N16-K16)+K16</f>
        <v>127</v>
      </c>
      <c r="M16" s="98">
        <f>AVERAGE(K16,N16)</f>
        <v>105.625</v>
      </c>
      <c r="N16" s="99">
        <f>L8*$J$11</f>
        <v>70</v>
      </c>
      <c r="P16" s="104">
        <v>2017</v>
      </c>
      <c r="Q16" s="157">
        <f>Q10</f>
        <v>215.78651685393257</v>
      </c>
      <c r="R16" s="157">
        <f t="shared" ref="R16:U16" si="5">R10</f>
        <v>155.0561797752809</v>
      </c>
      <c r="S16" s="157">
        <f t="shared" si="5"/>
        <v>139.80898876404493</v>
      </c>
      <c r="T16" s="157">
        <f t="shared" si="5"/>
        <v>116.938202247191</v>
      </c>
      <c r="U16" s="158">
        <f t="shared" si="5"/>
        <v>78.82022471910112</v>
      </c>
    </row>
    <row r="17" spans="2:21" ht="17" thickBot="1" x14ac:dyDescent="0.25">
      <c r="B17" s="111" t="s">
        <v>55</v>
      </c>
      <c r="C17" s="93">
        <f>(C$14-C13)/C13</f>
        <v>-6.0402684563758441E-2</v>
      </c>
      <c r="D17" s="93">
        <f t="shared" ref="D17:G17" si="6">(D$14-D13)/D13</f>
        <v>-0.14746543778801838</v>
      </c>
      <c r="E17" s="93">
        <f t="shared" si="6"/>
        <v>-0.14285714285714277</v>
      </c>
      <c r="F17" s="93">
        <f t="shared" si="6"/>
        <v>-0.22395833333333331</v>
      </c>
      <c r="G17" s="49">
        <f t="shared" si="6"/>
        <v>-0.27922077922077915</v>
      </c>
      <c r="I17" s="73" t="s">
        <v>59</v>
      </c>
      <c r="J17" s="101">
        <f t="shared" si="4"/>
        <v>208.75</v>
      </c>
      <c r="K17" s="101">
        <f t="shared" si="4"/>
        <v>150</v>
      </c>
      <c r="L17" s="102">
        <f>0.2*(N17-K17)+K17</f>
        <v>135.25</v>
      </c>
      <c r="M17" s="102">
        <f>AVERAGE(K17,N17)</f>
        <v>113.125</v>
      </c>
      <c r="N17" s="103">
        <f>L9*$J$11</f>
        <v>76.25</v>
      </c>
      <c r="P17" s="72" t="s">
        <v>82</v>
      </c>
      <c r="Q17" s="113">
        <v>0.5</v>
      </c>
      <c r="R17" s="113">
        <v>0.4</v>
      </c>
      <c r="S17" s="113">
        <v>0.4</v>
      </c>
      <c r="T17" s="113">
        <v>0.25</v>
      </c>
      <c r="U17" s="155">
        <v>0.25</v>
      </c>
    </row>
    <row r="18" spans="2:21" x14ac:dyDescent="0.2">
      <c r="H18" s="84"/>
      <c r="P18" s="72" t="s">
        <v>83</v>
      </c>
      <c r="Q18" s="113">
        <v>0.6</v>
      </c>
      <c r="R18" s="113">
        <v>0.5</v>
      </c>
      <c r="S18" s="113">
        <v>0.5</v>
      </c>
      <c r="T18" s="113">
        <v>0.5</v>
      </c>
      <c r="U18" s="155">
        <v>0.5</v>
      </c>
    </row>
    <row r="19" spans="2:21" ht="16" customHeight="1" thickBot="1" x14ac:dyDescent="0.25">
      <c r="B19" s="1" t="s">
        <v>49</v>
      </c>
      <c r="H19" s="85"/>
      <c r="P19" s="72" t="s">
        <v>96</v>
      </c>
      <c r="Q19" s="96">
        <f t="shared" ref="Q19:U20" si="7">Q$16*(1-Q17)</f>
        <v>107.89325842696628</v>
      </c>
      <c r="R19" s="96">
        <f t="shared" si="7"/>
        <v>93.033707865168537</v>
      </c>
      <c r="S19" s="96">
        <f t="shared" si="7"/>
        <v>83.885393258426959</v>
      </c>
      <c r="T19" s="96">
        <f t="shared" si="7"/>
        <v>87.703651685393254</v>
      </c>
      <c r="U19" s="99">
        <f t="shared" si="7"/>
        <v>59.115168539325836</v>
      </c>
    </row>
    <row r="20" spans="2:21" ht="17" thickBot="1" x14ac:dyDescent="0.25">
      <c r="B20" s="23"/>
      <c r="C20" s="24" t="s">
        <v>8</v>
      </c>
      <c r="D20" s="24" t="s">
        <v>9</v>
      </c>
      <c r="E20" s="24" t="s">
        <v>9</v>
      </c>
      <c r="F20" s="24" t="s">
        <v>21</v>
      </c>
      <c r="G20" s="25" t="s">
        <v>21</v>
      </c>
      <c r="H20" s="85"/>
      <c r="P20" s="156" t="s">
        <v>97</v>
      </c>
      <c r="Q20" s="101">
        <f t="shared" si="7"/>
        <v>86.31460674157303</v>
      </c>
      <c r="R20" s="101">
        <f t="shared" si="7"/>
        <v>77.528089887640448</v>
      </c>
      <c r="S20" s="101">
        <f t="shared" si="7"/>
        <v>69.904494382022463</v>
      </c>
      <c r="T20" s="101">
        <f t="shared" si="7"/>
        <v>58.4691011235955</v>
      </c>
      <c r="U20" s="103">
        <f t="shared" si="7"/>
        <v>39.41011235955056</v>
      </c>
    </row>
    <row r="21" spans="2:21" x14ac:dyDescent="0.2">
      <c r="B21" s="29"/>
      <c r="C21" s="27" t="s">
        <v>23</v>
      </c>
      <c r="D21" s="27" t="s">
        <v>24</v>
      </c>
      <c r="E21" s="27" t="s">
        <v>31</v>
      </c>
      <c r="F21" s="27" t="s">
        <v>13</v>
      </c>
      <c r="G21" s="28" t="s">
        <v>25</v>
      </c>
      <c r="H21" s="86"/>
      <c r="P21" s="8"/>
    </row>
    <row r="22" spans="2:21" ht="17" thickBot="1" x14ac:dyDescent="0.25">
      <c r="B22" s="32" t="s">
        <v>0</v>
      </c>
      <c r="C22" s="33" t="s">
        <v>52</v>
      </c>
      <c r="D22" s="33" t="s">
        <v>52</v>
      </c>
      <c r="E22" s="33" t="s">
        <v>52</v>
      </c>
      <c r="F22" s="33" t="s">
        <v>52</v>
      </c>
      <c r="G22" s="33" t="s">
        <v>52</v>
      </c>
      <c r="H22" s="87"/>
      <c r="P22" s="8"/>
    </row>
    <row r="23" spans="2:21" ht="17" thickBot="1" x14ac:dyDescent="0.25">
      <c r="B23" s="23">
        <v>2011</v>
      </c>
      <c r="C23" s="61">
        <f t="shared" ref="C23:G29" si="8">(C8-C7)/C7</f>
        <v>-0.12430939226519341</v>
      </c>
      <c r="D23" s="61">
        <f t="shared" si="8"/>
        <v>-7.2761194029850845E-2</v>
      </c>
      <c r="E23" s="62">
        <f t="shared" si="8"/>
        <v>-8.9657738095238124E-2</v>
      </c>
      <c r="F23" s="62">
        <f t="shared" si="8"/>
        <v>-0.11481481481481499</v>
      </c>
      <c r="G23" s="63">
        <f t="shared" si="8"/>
        <v>-0.15625000000000008</v>
      </c>
      <c r="H23" s="84"/>
      <c r="P23" s="11" t="s">
        <v>95</v>
      </c>
    </row>
    <row r="24" spans="2:21" ht="17" customHeight="1" x14ac:dyDescent="0.2">
      <c r="B24" s="29">
        <v>2012</v>
      </c>
      <c r="C24" s="59">
        <f t="shared" si="8"/>
        <v>-0.29337539432176646</v>
      </c>
      <c r="D24" s="59">
        <f t="shared" si="8"/>
        <v>-0.3118712273641851</v>
      </c>
      <c r="E24" s="60">
        <f t="shared" si="8"/>
        <v>-0.31221904372701265</v>
      </c>
      <c r="F24" s="60">
        <f t="shared" si="8"/>
        <v>-0.31276150627615051</v>
      </c>
      <c r="G24" s="64">
        <f t="shared" si="8"/>
        <v>-0.31372549019607843</v>
      </c>
      <c r="H24" s="85"/>
      <c r="P24" s="47"/>
      <c r="Q24" s="24" t="s">
        <v>8</v>
      </c>
      <c r="R24" s="24" t="s">
        <v>9</v>
      </c>
      <c r="S24" s="24" t="s">
        <v>9</v>
      </c>
      <c r="T24" s="24" t="s">
        <v>61</v>
      </c>
      <c r="U24" s="25" t="s">
        <v>61</v>
      </c>
    </row>
    <row r="25" spans="2:21" x14ac:dyDescent="0.2">
      <c r="B25" s="29">
        <v>2013</v>
      </c>
      <c r="C25" s="59">
        <f t="shared" si="8"/>
        <v>-0.12500000000000011</v>
      </c>
      <c r="D25" s="59">
        <f t="shared" si="8"/>
        <v>-0.18713450292397665</v>
      </c>
      <c r="E25" s="60">
        <f t="shared" si="8"/>
        <v>-0.19726678550207966</v>
      </c>
      <c r="F25" s="60">
        <f t="shared" si="8"/>
        <v>-0.21308980213089806</v>
      </c>
      <c r="G25" s="64">
        <f t="shared" si="8"/>
        <v>-0.24126984126984122</v>
      </c>
      <c r="H25" s="85"/>
      <c r="P25" s="29"/>
      <c r="Q25" s="27" t="s">
        <v>23</v>
      </c>
      <c r="R25" s="27" t="s">
        <v>24</v>
      </c>
      <c r="S25" s="27" t="s">
        <v>31</v>
      </c>
      <c r="T25" s="27" t="s">
        <v>13</v>
      </c>
      <c r="U25" s="28" t="s">
        <v>12</v>
      </c>
    </row>
    <row r="26" spans="2:21" ht="17" thickBot="1" x14ac:dyDescent="0.25">
      <c r="B26" s="29">
        <v>2014</v>
      </c>
      <c r="C26" s="59">
        <f t="shared" si="8"/>
        <v>-0.12244897959183673</v>
      </c>
      <c r="D26" s="59">
        <f t="shared" si="8"/>
        <v>-7.1942446043165541E-3</v>
      </c>
      <c r="E26" s="60">
        <f t="shared" si="8"/>
        <v>-2.3686158401184328E-2</v>
      </c>
      <c r="F26" s="60">
        <f t="shared" si="8"/>
        <v>-5.0290135396518332E-2</v>
      </c>
      <c r="G26" s="64">
        <f t="shared" si="8"/>
        <v>-0.10041841004184109</v>
      </c>
      <c r="H26" s="86"/>
      <c r="P26" s="32" t="s">
        <v>0</v>
      </c>
      <c r="Q26" s="33" t="s">
        <v>64</v>
      </c>
      <c r="R26" s="33" t="s">
        <v>64</v>
      </c>
      <c r="S26" s="33" t="s">
        <v>64</v>
      </c>
      <c r="T26" s="33" t="s">
        <v>64</v>
      </c>
      <c r="U26" s="34" t="s">
        <v>64</v>
      </c>
    </row>
    <row r="27" spans="2:21" x14ac:dyDescent="0.2">
      <c r="B27" s="29">
        <v>2015</v>
      </c>
      <c r="C27" s="59">
        <f t="shared" si="8"/>
        <v>-7.5581395348837149E-2</v>
      </c>
      <c r="D27" s="59">
        <f t="shared" si="8"/>
        <v>-0.1775362318840579</v>
      </c>
      <c r="E27" s="60">
        <f t="shared" si="8"/>
        <v>-0.16224412433661864</v>
      </c>
      <c r="F27" s="60">
        <f t="shared" si="8"/>
        <v>-0.13645621181262726</v>
      </c>
      <c r="G27" s="64">
        <f t="shared" si="8"/>
        <v>-8.3720930232558111E-2</v>
      </c>
      <c r="H27" s="87"/>
      <c r="P27" s="104">
        <v>2017</v>
      </c>
      <c r="Q27" s="157">
        <f>Q16</f>
        <v>215.78651685393257</v>
      </c>
      <c r="R27" s="157">
        <f t="shared" ref="R27:U27" si="9">R16</f>
        <v>155.0561797752809</v>
      </c>
      <c r="S27" s="157">
        <f t="shared" si="9"/>
        <v>139.80898876404493</v>
      </c>
      <c r="T27" s="157">
        <f t="shared" si="9"/>
        <v>116.938202247191</v>
      </c>
      <c r="U27" s="158">
        <f t="shared" si="9"/>
        <v>78.82022471910112</v>
      </c>
    </row>
    <row r="28" spans="2:21" x14ac:dyDescent="0.2">
      <c r="B28" s="29">
        <v>2016</v>
      </c>
      <c r="C28" s="59">
        <f t="shared" si="8"/>
        <v>-6.2893081761006345E-2</v>
      </c>
      <c r="D28" s="59">
        <f t="shared" si="8"/>
        <v>-4.4052863436123385E-2</v>
      </c>
      <c r="E28" s="60">
        <f t="shared" si="8"/>
        <v>-8.1447963800905049E-2</v>
      </c>
      <c r="F28" s="60">
        <f t="shared" si="8"/>
        <v>-9.433962264150951E-2</v>
      </c>
      <c r="G28" s="64">
        <f t="shared" si="8"/>
        <v>-0.21827411167512686</v>
      </c>
      <c r="H28" s="84"/>
      <c r="P28" s="104" t="str">
        <f>P17</f>
        <v>Small decline</v>
      </c>
      <c r="Q28" s="159">
        <f t="shared" ref="Q28:U29" si="10">Q17</f>
        <v>0.5</v>
      </c>
      <c r="R28" s="159">
        <f t="shared" si="10"/>
        <v>0.4</v>
      </c>
      <c r="S28" s="159">
        <f t="shared" si="10"/>
        <v>0.4</v>
      </c>
      <c r="T28" s="159">
        <f t="shared" si="10"/>
        <v>0.25</v>
      </c>
      <c r="U28" s="160">
        <f t="shared" si="10"/>
        <v>0.25</v>
      </c>
    </row>
    <row r="29" spans="2:21" ht="17" customHeight="1" x14ac:dyDescent="0.2">
      <c r="B29" s="29">
        <v>2017</v>
      </c>
      <c r="C29" s="59">
        <f t="shared" si="8"/>
        <v>-6.0402684563758441E-2</v>
      </c>
      <c r="D29" s="59">
        <f t="shared" si="8"/>
        <v>-0.14746543778801838</v>
      </c>
      <c r="E29" s="59">
        <f t="shared" si="8"/>
        <v>-0.14285714285714277</v>
      </c>
      <c r="F29" s="59">
        <f t="shared" si="8"/>
        <v>-0.22395833333333331</v>
      </c>
      <c r="G29" s="64">
        <f t="shared" si="8"/>
        <v>-0.27922077922077915</v>
      </c>
      <c r="H29" s="85"/>
      <c r="P29" s="104" t="str">
        <f>P18</f>
        <v>Large decline</v>
      </c>
      <c r="Q29" s="159">
        <f t="shared" si="10"/>
        <v>0.6</v>
      </c>
      <c r="R29" s="159">
        <f t="shared" si="10"/>
        <v>0.5</v>
      </c>
      <c r="S29" s="159">
        <f t="shared" si="10"/>
        <v>0.5</v>
      </c>
      <c r="T29" s="159">
        <f t="shared" si="10"/>
        <v>0.5</v>
      </c>
      <c r="U29" s="160">
        <f t="shared" si="10"/>
        <v>0.5</v>
      </c>
    </row>
    <row r="30" spans="2:21" ht="17" thickBot="1" x14ac:dyDescent="0.25">
      <c r="B30" s="69" t="s">
        <v>53</v>
      </c>
      <c r="C30" s="67">
        <f>AVERAGE(C23:C29)</f>
        <v>-0.12343013255034266</v>
      </c>
      <c r="D30" s="67">
        <f>AVERAGE(D23:D29)</f>
        <v>-0.13543081457578982</v>
      </c>
      <c r="E30" s="67">
        <f>AVERAGE(E23:E29)</f>
        <v>-0.14419699381716874</v>
      </c>
      <c r="F30" s="67">
        <f>AVERAGE(F23:F29)</f>
        <v>-0.16367291805797884</v>
      </c>
      <c r="G30" s="68">
        <f>AVERAGE(G23:G29)</f>
        <v>-0.19898279466231786</v>
      </c>
      <c r="H30" s="85"/>
      <c r="P30" s="104" t="s">
        <v>98</v>
      </c>
      <c r="Q30" s="157">
        <f>'5.7kW'!C14</f>
        <v>146.24496808826908</v>
      </c>
      <c r="R30" s="157">
        <f>'200kW'!C14</f>
        <v>100.9878322252832</v>
      </c>
      <c r="S30" s="157">
        <f>'1MW'!C14</f>
        <v>90.528287499011242</v>
      </c>
      <c r="T30" s="157">
        <f>'5MW'!C14</f>
        <v>88.752206671191345</v>
      </c>
      <c r="U30" s="158">
        <f>'100MW'!C14</f>
        <v>59.487019333819148</v>
      </c>
    </row>
    <row r="31" spans="2:21" ht="17" thickBot="1" x14ac:dyDescent="0.25">
      <c r="B31" s="74" t="s">
        <v>54</v>
      </c>
      <c r="C31" s="75">
        <f>AVERAGE(C27:C29)</f>
        <v>-6.6292387224533983E-2</v>
      </c>
      <c r="D31" s="75">
        <f t="shared" ref="D31:G31" si="11">AVERAGE(D27:D29)</f>
        <v>-0.12301817770273323</v>
      </c>
      <c r="E31" s="75">
        <f t="shared" si="11"/>
        <v>-0.1288497436648888</v>
      </c>
      <c r="F31" s="75">
        <f t="shared" si="11"/>
        <v>-0.15158472259582337</v>
      </c>
      <c r="G31" s="75">
        <f t="shared" si="11"/>
        <v>-0.19373860704282139</v>
      </c>
      <c r="H31" s="86"/>
      <c r="P31" s="104" t="s">
        <v>99</v>
      </c>
      <c r="Q31" s="157">
        <f>'5.7kW'!C19</f>
        <v>126.69204887183082</v>
      </c>
      <c r="R31" s="157">
        <f>'200kW'!C19</f>
        <v>95.286544189612115</v>
      </c>
      <c r="S31" s="157">
        <f>'1MW'!C19</f>
        <v>85.705861613543178</v>
      </c>
      <c r="T31" s="157">
        <f>'5MW'!C19</f>
        <v>88.103462508416953</v>
      </c>
      <c r="U31" s="158">
        <f>'100MW'!C19</f>
        <v>59.016684768305915</v>
      </c>
    </row>
    <row r="32" spans="2:21" x14ac:dyDescent="0.2">
      <c r="H32" s="87"/>
      <c r="P32" s="104" t="s">
        <v>100</v>
      </c>
      <c r="Q32" s="157">
        <f>'5.7kW'!C24</f>
        <v>115.01061130197061</v>
      </c>
      <c r="R32" s="157">
        <f>'200kW'!C24</f>
        <v>93.463318599126396</v>
      </c>
      <c r="S32" s="157">
        <f>'1MW'!C24</f>
        <v>84.234854306875064</v>
      </c>
      <c r="T32" s="157">
        <f>'5MW'!C24</f>
        <v>88.03139856282499</v>
      </c>
      <c r="U32" s="158">
        <f>'100MW'!C24</f>
        <v>58.962404636473529</v>
      </c>
    </row>
    <row r="33" spans="8:21" x14ac:dyDescent="0.2">
      <c r="H33" s="84"/>
      <c r="P33" s="104" t="s">
        <v>96</v>
      </c>
      <c r="Q33" s="157">
        <f>'5.7kW'!C29</f>
        <v>107.74036681809889</v>
      </c>
      <c r="R33" s="157">
        <f>'200kW'!C29</f>
        <v>92.86324223065931</v>
      </c>
      <c r="S33" s="157">
        <f>'1MW'!C29</f>
        <v>83.77361320126667</v>
      </c>
      <c r="T33" s="157">
        <f>'5MW'!C29</f>
        <v>88.023358185161158</v>
      </c>
      <c r="U33" s="158">
        <f>'100MW'!C29</f>
        <v>58.95611048245658</v>
      </c>
    </row>
    <row r="34" spans="8:21" ht="17" customHeight="1" x14ac:dyDescent="0.2">
      <c r="H34" s="85"/>
      <c r="P34" s="72" t="s">
        <v>101</v>
      </c>
      <c r="Q34" s="157">
        <f>'5.7kW'!E14</f>
        <v>138.72864863629397</v>
      </c>
      <c r="R34" s="157">
        <f>'200kW'!E14</f>
        <v>92.441684205015775</v>
      </c>
      <c r="S34" s="157">
        <f>'1MW'!E14</f>
        <v>82.411558467677096</v>
      </c>
      <c r="T34" s="157">
        <f>'5MW'!E14</f>
        <v>65.898917114853433</v>
      </c>
      <c r="U34" s="158">
        <f>'100MW'!E14</f>
        <v>44.418054629901206</v>
      </c>
    </row>
    <row r="35" spans="8:21" x14ac:dyDescent="0.2">
      <c r="H35" s="85"/>
      <c r="P35" s="72" t="s">
        <v>102</v>
      </c>
      <c r="Q35" s="157">
        <f>'5.7kW'!E19</f>
        <v>113.627831624217</v>
      </c>
      <c r="R35" s="157">
        <f>'200kW'!E19</f>
        <v>83.514054350198492</v>
      </c>
      <c r="S35" s="157">
        <f>'1MW'!E19</f>
        <v>74.675261700591008</v>
      </c>
      <c r="T35" s="157">
        <f>'5MW'!E19</f>
        <v>60.245917428044507</v>
      </c>
      <c r="U35" s="158">
        <f>'100MW'!E19</f>
        <v>40.607745448737191</v>
      </c>
    </row>
    <row r="36" spans="8:21" x14ac:dyDescent="0.2">
      <c r="H36" s="86"/>
      <c r="P36" s="72" t="s">
        <v>103</v>
      </c>
      <c r="Q36" s="157">
        <f>'5.7kW'!E24</f>
        <v>97.194369749370139</v>
      </c>
      <c r="R36" s="157">
        <f>'200kW'!E24</f>
        <v>79.93937498561705</v>
      </c>
      <c r="S36" s="157">
        <f>'1MW'!E24</f>
        <v>71.677251557965732</v>
      </c>
      <c r="T36" s="157">
        <f>'5MW'!E24</f>
        <v>58.2874167241552</v>
      </c>
      <c r="U36" s="158">
        <f>'100MW'!E24</f>
        <v>39.287651051640523</v>
      </c>
    </row>
    <row r="37" spans="8:21" ht="17" thickBot="1" x14ac:dyDescent="0.25">
      <c r="H37" s="87"/>
      <c r="P37" s="156" t="s">
        <v>97</v>
      </c>
      <c r="Q37" s="161">
        <f>'5.7kW'!E29</f>
        <v>85.998529749309796</v>
      </c>
      <c r="R37" s="161">
        <f>'200kW'!E29</f>
        <v>78.442043381160758</v>
      </c>
      <c r="S37" s="161">
        <f>'1MW'!E29</f>
        <v>70.462475102975048</v>
      </c>
      <c r="T37" s="161">
        <f>'5MW'!E29</f>
        <v>57.579191971192671</v>
      </c>
      <c r="U37" s="162">
        <f>'100MW'!E29</f>
        <v>38.810284091080135</v>
      </c>
    </row>
    <row r="38" spans="8:21" x14ac:dyDescent="0.2">
      <c r="H38" s="84"/>
    </row>
    <row r="39" spans="8:21" ht="17" customHeight="1" x14ac:dyDescent="0.2">
      <c r="H39" s="85"/>
    </row>
    <row r="40" spans="8:21" x14ac:dyDescent="0.2">
      <c r="H40" s="86"/>
    </row>
    <row r="41" spans="8:21" x14ac:dyDescent="0.2">
      <c r="H41" s="87"/>
    </row>
    <row r="42" spans="8:21" x14ac:dyDescent="0.2">
      <c r="H42" s="84"/>
    </row>
    <row r="43" spans="8:21" x14ac:dyDescent="0.2">
      <c r="H43" s="85"/>
    </row>
    <row r="44" spans="8:21" x14ac:dyDescent="0.2">
      <c r="H44" s="85"/>
    </row>
    <row r="45" spans="8:21" x14ac:dyDescent="0.2">
      <c r="H45" s="86"/>
    </row>
    <row r="46" spans="8:21" x14ac:dyDescent="0.2">
      <c r="H46" s="87"/>
    </row>
  </sheetData>
  <phoneticPr fontId="9" type="noConversion"/>
  <pageMargins left="0.75" right="0.75" top="1" bottom="1" header="0.5" footer="0.5"/>
  <pageSetup scale="33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F22" sqref="F22:G22"/>
    </sheetView>
  </sheetViews>
  <sheetFormatPr baseColWidth="10" defaultColWidth="11" defaultRowHeight="16" x14ac:dyDescent="0.2"/>
  <cols>
    <col min="1" max="1" width="2.83203125" customWidth="1"/>
    <col min="3" max="7" width="14.83203125" customWidth="1"/>
  </cols>
  <sheetData>
    <row r="1" spans="2:7" ht="21" x14ac:dyDescent="0.35">
      <c r="B1" s="18" t="s">
        <v>94</v>
      </c>
    </row>
    <row r="2" spans="2:7" ht="21" x14ac:dyDescent="0.35">
      <c r="B2" s="18"/>
    </row>
    <row r="3" spans="2:7" ht="16.5" thickBot="1" x14ac:dyDescent="0.3">
      <c r="B3" s="1" t="s">
        <v>90</v>
      </c>
    </row>
    <row r="4" spans="2:7" x14ac:dyDescent="0.2">
      <c r="B4" s="23"/>
      <c r="C4" s="24" t="s">
        <v>8</v>
      </c>
      <c r="D4" s="24" t="s">
        <v>33</v>
      </c>
      <c r="E4" s="24" t="s">
        <v>33</v>
      </c>
      <c r="F4" s="24" t="s">
        <v>39</v>
      </c>
      <c r="G4" s="25" t="s">
        <v>39</v>
      </c>
    </row>
    <row r="5" spans="2:7" x14ac:dyDescent="0.2">
      <c r="B5" s="29"/>
      <c r="C5" s="27" t="s">
        <v>32</v>
      </c>
      <c r="D5" s="27" t="s">
        <v>34</v>
      </c>
      <c r="E5" s="27" t="s">
        <v>35</v>
      </c>
      <c r="F5" s="27" t="s">
        <v>40</v>
      </c>
      <c r="G5" s="28" t="s">
        <v>41</v>
      </c>
    </row>
    <row r="6" spans="2:7" ht="17" thickBot="1" x14ac:dyDescent="0.25">
      <c r="B6" s="32" t="s">
        <v>0</v>
      </c>
      <c r="C6" s="33" t="s">
        <v>36</v>
      </c>
      <c r="D6" s="33" t="s">
        <v>36</v>
      </c>
      <c r="E6" s="33" t="s">
        <v>36</v>
      </c>
      <c r="F6" s="33" t="s">
        <v>36</v>
      </c>
      <c r="G6" s="34" t="s">
        <v>36</v>
      </c>
    </row>
    <row r="7" spans="2:7" x14ac:dyDescent="0.2">
      <c r="B7" s="137" t="s">
        <v>2</v>
      </c>
      <c r="C7" s="144">
        <v>7111</v>
      </c>
      <c r="D7" s="144">
        <f>2412.16+1068.76</f>
        <v>3480.92</v>
      </c>
      <c r="E7" s="144">
        <f>1143+9946</f>
        <v>11089</v>
      </c>
      <c r="F7" s="144">
        <f>10122+267</f>
        <v>10389</v>
      </c>
      <c r="G7" s="165">
        <v>2924</v>
      </c>
    </row>
    <row r="8" spans="2:7" x14ac:dyDescent="0.2">
      <c r="B8" s="12" t="s">
        <v>3</v>
      </c>
      <c r="C8" s="15">
        <v>7141</v>
      </c>
      <c r="D8" s="15">
        <f>2407.49+1066.69</f>
        <v>3474.18</v>
      </c>
      <c r="E8" s="15">
        <f>1141+9927</f>
        <v>11068</v>
      </c>
      <c r="F8" s="15">
        <f>9645+189</f>
        <v>9834</v>
      </c>
      <c r="G8" s="163">
        <v>3341</v>
      </c>
    </row>
    <row r="9" spans="2:7" ht="17" thickBot="1" x14ac:dyDescent="0.25">
      <c r="B9" s="123" t="s">
        <v>4</v>
      </c>
      <c r="C9" s="142">
        <v>7195</v>
      </c>
      <c r="D9" s="142">
        <f>2424.47+1074.21</f>
        <v>3498.68</v>
      </c>
      <c r="E9" s="142">
        <f>1149+9997</f>
        <v>11146</v>
      </c>
      <c r="F9" s="142">
        <f>9455+232</f>
        <v>9687</v>
      </c>
      <c r="G9" s="164">
        <v>4046</v>
      </c>
    </row>
    <row r="10" spans="2:7" x14ac:dyDescent="0.2">
      <c r="B10" s="128"/>
      <c r="C10" s="133"/>
      <c r="D10" s="133"/>
      <c r="E10" s="133"/>
      <c r="F10" s="133"/>
      <c r="G10" s="133"/>
    </row>
    <row r="11" spans="2:7" ht="17" thickBot="1" x14ac:dyDescent="0.25">
      <c r="B11" s="4" t="s">
        <v>89</v>
      </c>
    </row>
    <row r="12" spans="2:7" x14ac:dyDescent="0.2">
      <c r="B12" s="140"/>
      <c r="C12" s="141" t="s">
        <v>8</v>
      </c>
      <c r="D12" s="141" t="s">
        <v>33</v>
      </c>
      <c r="E12" s="141" t="s">
        <v>33</v>
      </c>
      <c r="F12" s="172" t="s">
        <v>39</v>
      </c>
      <c r="G12" s="173"/>
    </row>
    <row r="13" spans="2:7" s="14" customFormat="1" ht="33" thickBot="1" x14ac:dyDescent="0.25">
      <c r="B13" s="145"/>
      <c r="C13" s="146" t="s">
        <v>37</v>
      </c>
      <c r="D13" s="146" t="s">
        <v>37</v>
      </c>
      <c r="E13" s="146" t="s">
        <v>37</v>
      </c>
      <c r="F13" s="175" t="s">
        <v>37</v>
      </c>
      <c r="G13" s="176"/>
    </row>
    <row r="14" spans="2:7" s="57" customFormat="1" x14ac:dyDescent="0.2">
      <c r="B14" s="137" t="s">
        <v>2</v>
      </c>
      <c r="C14" s="143">
        <v>1742398</v>
      </c>
      <c r="D14" s="143">
        <v>16633</v>
      </c>
      <c r="E14" s="144">
        <v>7003</v>
      </c>
      <c r="F14" s="177">
        <v>186</v>
      </c>
      <c r="G14" s="178"/>
    </row>
    <row r="15" spans="2:7" s="57" customFormat="1" x14ac:dyDescent="0.2">
      <c r="B15" s="12" t="s">
        <v>3</v>
      </c>
      <c r="C15" s="120">
        <v>1769236</v>
      </c>
      <c r="D15" s="120">
        <v>16853</v>
      </c>
      <c r="E15" s="15">
        <v>7095</v>
      </c>
      <c r="F15" s="179">
        <v>188</v>
      </c>
      <c r="G15" s="180"/>
    </row>
    <row r="16" spans="2:7" s="57" customFormat="1" ht="17" thickBot="1" x14ac:dyDescent="0.25">
      <c r="B16" s="123" t="s">
        <v>4</v>
      </c>
      <c r="C16" s="135">
        <v>1794716</v>
      </c>
      <c r="D16" s="135">
        <v>17019</v>
      </c>
      <c r="E16" s="142">
        <v>7165</v>
      </c>
      <c r="F16" s="181">
        <v>192</v>
      </c>
      <c r="G16" s="182"/>
    </row>
    <row r="17" spans="2:7" s="57" customFormat="1" x14ac:dyDescent="0.2">
      <c r="B17" s="128"/>
      <c r="C17" s="132"/>
      <c r="D17" s="132"/>
      <c r="E17" s="133"/>
      <c r="F17" s="132"/>
      <c r="G17" s="134"/>
    </row>
    <row r="18" spans="2:7" s="57" customFormat="1" ht="17" thickBot="1" x14ac:dyDescent="0.25">
      <c r="B18" s="4" t="s">
        <v>104</v>
      </c>
    </row>
    <row r="19" spans="2:7" s="57" customFormat="1" x14ac:dyDescent="0.2">
      <c r="B19" s="23"/>
      <c r="C19" s="24" t="s">
        <v>8</v>
      </c>
      <c r="D19" s="24" t="s">
        <v>33</v>
      </c>
      <c r="E19" s="24" t="s">
        <v>33</v>
      </c>
      <c r="F19" s="174" t="s">
        <v>39</v>
      </c>
      <c r="G19" s="173"/>
    </row>
    <row r="20" spans="2:7" s="57" customFormat="1" x14ac:dyDescent="0.2">
      <c r="B20" s="136"/>
      <c r="C20" s="117" t="s">
        <v>26</v>
      </c>
      <c r="D20" s="117" t="s">
        <v>26</v>
      </c>
      <c r="E20" s="117" t="s">
        <v>26</v>
      </c>
      <c r="F20" s="183" t="s">
        <v>26</v>
      </c>
      <c r="G20" s="184"/>
    </row>
    <row r="21" spans="2:7" s="57" customFormat="1" ht="17" thickBot="1" x14ac:dyDescent="0.25">
      <c r="B21" s="32" t="s">
        <v>0</v>
      </c>
      <c r="C21" s="33" t="s">
        <v>58</v>
      </c>
      <c r="D21" s="33" t="s">
        <v>58</v>
      </c>
      <c r="E21" s="33" t="s">
        <v>58</v>
      </c>
      <c r="F21" s="185" t="s">
        <v>58</v>
      </c>
      <c r="G21" s="186"/>
    </row>
    <row r="22" spans="2:7" s="57" customFormat="1" x14ac:dyDescent="0.2">
      <c r="B22" s="137" t="s">
        <v>2</v>
      </c>
      <c r="C22" s="138">
        <f t="shared" ref="C22:E24" si="0">C7/C14*1000</f>
        <v>4.0811571179489414</v>
      </c>
      <c r="D22" s="138">
        <f t="shared" si="0"/>
        <v>209.27794144171227</v>
      </c>
      <c r="E22" s="139">
        <f t="shared" si="0"/>
        <v>1583.464229615879</v>
      </c>
      <c r="F22" s="166">
        <f>(F7+G7)/F14*1000</f>
        <v>71575.268817204298</v>
      </c>
      <c r="G22" s="167"/>
    </row>
    <row r="23" spans="2:7" s="57" customFormat="1" x14ac:dyDescent="0.2">
      <c r="B23" s="12" t="s">
        <v>3</v>
      </c>
      <c r="C23" s="118">
        <f t="shared" si="0"/>
        <v>4.036205458175167</v>
      </c>
      <c r="D23" s="118">
        <f t="shared" si="0"/>
        <v>206.14608675013349</v>
      </c>
      <c r="E23" s="119">
        <f t="shared" si="0"/>
        <v>1559.9718111346019</v>
      </c>
      <c r="F23" s="168">
        <f>(F8+G8)/F15*1000</f>
        <v>70079.787234042553</v>
      </c>
      <c r="G23" s="169"/>
    </row>
    <row r="24" spans="2:7" s="57" customFormat="1" ht="17" thickBot="1" x14ac:dyDescent="0.25">
      <c r="B24" s="123" t="s">
        <v>4</v>
      </c>
      <c r="C24" s="124">
        <f t="shared" si="0"/>
        <v>4.0089908375475565</v>
      </c>
      <c r="D24" s="124">
        <f t="shared" si="0"/>
        <v>205.57494564898053</v>
      </c>
      <c r="E24" s="125">
        <f t="shared" si="0"/>
        <v>1555.6175854849964</v>
      </c>
      <c r="F24" s="170">
        <f>(F9+G9)/F16*1000</f>
        <v>71526.041666666672</v>
      </c>
      <c r="G24" s="171"/>
    </row>
    <row r="25" spans="2:7" s="57" customFormat="1" x14ac:dyDescent="0.2">
      <c r="B25" s="128"/>
      <c r="C25" s="129"/>
      <c r="D25" s="129"/>
      <c r="E25" s="130"/>
      <c r="F25" s="130"/>
      <c r="G25" s="131"/>
    </row>
    <row r="26" spans="2:7" s="57" customFormat="1" ht="17" thickBot="1" x14ac:dyDescent="0.25">
      <c r="B26" s="4" t="s">
        <v>91</v>
      </c>
      <c r="C26" s="94"/>
      <c r="D26" s="94"/>
      <c r="E26" s="95"/>
      <c r="F26" s="95"/>
      <c r="G26" s="116"/>
    </row>
    <row r="27" spans="2:7" s="57" customFormat="1" x14ac:dyDescent="0.2">
      <c r="B27" s="47"/>
      <c r="C27" s="24" t="s">
        <v>8</v>
      </c>
      <c r="D27" s="24" t="s">
        <v>9</v>
      </c>
      <c r="E27" s="24" t="s">
        <v>9</v>
      </c>
      <c r="F27" s="24" t="s">
        <v>61</v>
      </c>
      <c r="G27" s="25" t="s">
        <v>61</v>
      </c>
    </row>
    <row r="28" spans="2:7" s="57" customFormat="1" ht="17" thickBot="1" x14ac:dyDescent="0.25">
      <c r="B28" s="29"/>
      <c r="C28" s="27" t="s">
        <v>23</v>
      </c>
      <c r="D28" s="27" t="s">
        <v>24</v>
      </c>
      <c r="E28" s="27" t="s">
        <v>31</v>
      </c>
      <c r="F28" s="27" t="s">
        <v>13</v>
      </c>
      <c r="G28" s="28" t="s">
        <v>12</v>
      </c>
    </row>
    <row r="29" spans="2:7" s="57" customFormat="1" x14ac:dyDescent="0.2">
      <c r="B29" s="70" t="s">
        <v>86</v>
      </c>
      <c r="C29" s="71">
        <v>5.7000000000000002E-3</v>
      </c>
      <c r="D29" s="71">
        <v>0.2</v>
      </c>
      <c r="E29" s="71">
        <v>1</v>
      </c>
      <c r="F29" s="71">
        <v>5</v>
      </c>
      <c r="G29" s="121">
        <v>100</v>
      </c>
    </row>
    <row r="30" spans="2:7" s="57" customFormat="1" x14ac:dyDescent="0.2">
      <c r="B30" s="104" t="s">
        <v>88</v>
      </c>
      <c r="C30" s="126">
        <f>24*365</f>
        <v>8760</v>
      </c>
      <c r="D30" s="126">
        <v>8760</v>
      </c>
      <c r="E30" s="126">
        <v>8760</v>
      </c>
      <c r="F30" s="126">
        <v>8760</v>
      </c>
      <c r="G30" s="127">
        <v>8760</v>
      </c>
    </row>
    <row r="31" spans="2:7" s="57" customFormat="1" x14ac:dyDescent="0.2">
      <c r="B31" s="12" t="s">
        <v>87</v>
      </c>
      <c r="C31" s="118">
        <v>0.15</v>
      </c>
      <c r="D31" s="118">
        <v>0.15</v>
      </c>
      <c r="E31" s="119">
        <v>0.18</v>
      </c>
      <c r="F31" s="119">
        <v>0.18</v>
      </c>
      <c r="G31" s="122">
        <v>0.18</v>
      </c>
    </row>
    <row r="32" spans="2:7" s="57" customFormat="1" ht="17" thickBot="1" x14ac:dyDescent="0.25">
      <c r="B32" s="32" t="s">
        <v>58</v>
      </c>
      <c r="C32" s="147">
        <f>C29*C30*C31</f>
        <v>7.4897999999999998</v>
      </c>
      <c r="D32" s="147">
        <f t="shared" ref="D32:G32" si="1">D29*D30*D31</f>
        <v>262.8</v>
      </c>
      <c r="E32" s="147">
        <f t="shared" si="1"/>
        <v>1576.8</v>
      </c>
      <c r="F32" s="147">
        <f t="shared" si="1"/>
        <v>7884</v>
      </c>
      <c r="G32" s="148">
        <f t="shared" si="1"/>
        <v>157680</v>
      </c>
    </row>
    <row r="33" spans="2:7" s="57" customFormat="1" x14ac:dyDescent="0.2">
      <c r="B33" s="17"/>
      <c r="C33" s="94"/>
      <c r="D33" s="94"/>
      <c r="E33" s="95"/>
      <c r="F33" s="95"/>
      <c r="G33" s="116"/>
    </row>
    <row r="34" spans="2:7" s="57" customFormat="1" x14ac:dyDescent="0.2">
      <c r="B34" s="58" t="s">
        <v>1</v>
      </c>
    </row>
    <row r="35" spans="2:7" x14ac:dyDescent="0.2">
      <c r="B35" s="10" t="s">
        <v>46</v>
      </c>
    </row>
    <row r="36" spans="2:7" x14ac:dyDescent="0.2">
      <c r="B36" t="s">
        <v>38</v>
      </c>
    </row>
  </sheetData>
  <mergeCells count="11">
    <mergeCell ref="F22:G22"/>
    <mergeCell ref="F23:G23"/>
    <mergeCell ref="F24:G24"/>
    <mergeCell ref="F12:G12"/>
    <mergeCell ref="F19:G19"/>
    <mergeCell ref="F13:G13"/>
    <mergeCell ref="F14:G14"/>
    <mergeCell ref="F15:G15"/>
    <mergeCell ref="F16:G16"/>
    <mergeCell ref="F20:G20"/>
    <mergeCell ref="F21:G21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workbookViewId="0">
      <selection activeCell="B1" sqref="B1"/>
    </sheetView>
  </sheetViews>
  <sheetFormatPr baseColWidth="10" defaultColWidth="11" defaultRowHeight="16" x14ac:dyDescent="0.2"/>
  <cols>
    <col min="1" max="1" width="2.83203125" customWidth="1"/>
    <col min="2" max="6" width="11.6640625" customWidth="1"/>
    <col min="7" max="7" width="2.83203125" customWidth="1"/>
    <col min="8" max="15" width="11.6640625" customWidth="1"/>
  </cols>
  <sheetData>
    <row r="1" spans="2:15" ht="21" x14ac:dyDescent="0.35">
      <c r="B1" s="18" t="s">
        <v>107</v>
      </c>
    </row>
    <row r="2" spans="2:15" ht="16.5" thickBot="1" x14ac:dyDescent="0.3"/>
    <row r="3" spans="2:15" s="56" customFormat="1" ht="16" customHeight="1" thickBot="1" x14ac:dyDescent="0.3">
      <c r="B3" s="55"/>
      <c r="C3" s="189" t="s">
        <v>92</v>
      </c>
      <c r="D3" s="190"/>
      <c r="E3" s="189" t="s">
        <v>93</v>
      </c>
      <c r="F3" s="190"/>
      <c r="G3" s="82"/>
      <c r="H3" s="187" t="s">
        <v>50</v>
      </c>
      <c r="I3" s="188"/>
      <c r="J3" s="187" t="s">
        <v>51</v>
      </c>
      <c r="K3" s="188"/>
      <c r="L3" s="187" t="s">
        <v>105</v>
      </c>
      <c r="M3" s="188"/>
      <c r="N3" s="187" t="s">
        <v>106</v>
      </c>
      <c r="O3" s="188"/>
    </row>
    <row r="4" spans="2:15" x14ac:dyDescent="0.2">
      <c r="B4" s="38"/>
      <c r="C4" s="47" t="s">
        <v>5</v>
      </c>
      <c r="D4" s="25" t="s">
        <v>10</v>
      </c>
      <c r="E4" s="47" t="s">
        <v>5</v>
      </c>
      <c r="F4" s="25" t="s">
        <v>10</v>
      </c>
      <c r="G4" s="78"/>
      <c r="H4" s="26" t="s">
        <v>5</v>
      </c>
      <c r="I4" s="28" t="s">
        <v>19</v>
      </c>
      <c r="J4" s="26" t="s">
        <v>5</v>
      </c>
      <c r="K4" s="28" t="s">
        <v>19</v>
      </c>
      <c r="L4" s="26" t="s">
        <v>5</v>
      </c>
      <c r="M4" s="28" t="s">
        <v>19</v>
      </c>
      <c r="N4" s="26" t="s">
        <v>5</v>
      </c>
      <c r="O4" s="28" t="s">
        <v>19</v>
      </c>
    </row>
    <row r="5" spans="2:15" ht="17" thickBot="1" x14ac:dyDescent="0.25">
      <c r="B5" s="51" t="s">
        <v>0</v>
      </c>
      <c r="C5" s="32" t="s">
        <v>6</v>
      </c>
      <c r="D5" s="49">
        <f>Costs!$C$31</f>
        <v>-6.6292387224533983E-2</v>
      </c>
      <c r="E5" s="32" t="s">
        <v>6</v>
      </c>
      <c r="F5" s="49">
        <f>Costs!$C$31</f>
        <v>-6.6292387224533983E-2</v>
      </c>
      <c r="G5" s="79"/>
      <c r="H5" s="32" t="s">
        <v>6</v>
      </c>
      <c r="I5" s="48">
        <v>0</v>
      </c>
      <c r="J5" s="32" t="s">
        <v>6</v>
      </c>
      <c r="K5" s="48">
        <v>0.01</v>
      </c>
      <c r="L5" s="32" t="s">
        <v>6</v>
      </c>
      <c r="M5" s="48">
        <v>0</v>
      </c>
      <c r="N5" s="32" t="s">
        <v>6</v>
      </c>
      <c r="O5" s="48">
        <v>0.01</v>
      </c>
    </row>
    <row r="6" spans="2:15" s="13" customFormat="1" x14ac:dyDescent="0.2">
      <c r="B6" s="35">
        <v>2017</v>
      </c>
      <c r="C6" s="36">
        <f>Costs!Q16</f>
        <v>215.78651685393257</v>
      </c>
      <c r="D6" s="40">
        <f t="shared" ref="D6:D31" si="0">D5*D$32</f>
        <v>-6.1320458182693938E-2</v>
      </c>
      <c r="E6" s="36">
        <f>Costs!Q16</f>
        <v>215.78651685393257</v>
      </c>
      <c r="F6" s="40">
        <f t="shared" ref="F6:F31" si="1">F5*F$32</f>
        <v>-6.3176645024980882E-2</v>
      </c>
      <c r="G6" s="80"/>
      <c r="H6" s="36">
        <f>127.8*1.05*1.05</f>
        <v>140.89950000000002</v>
      </c>
      <c r="I6" s="37">
        <v>0.02</v>
      </c>
      <c r="J6" s="36">
        <f>H6</f>
        <v>140.89950000000002</v>
      </c>
      <c r="K6" s="37">
        <v>0.02</v>
      </c>
      <c r="L6" s="36">
        <f>85.8*1.05*1.05</f>
        <v>94.594500000000011</v>
      </c>
      <c r="M6" s="37">
        <v>0.02</v>
      </c>
      <c r="N6" s="36">
        <f>L6</f>
        <v>94.594500000000011</v>
      </c>
      <c r="O6" s="37">
        <v>0.02</v>
      </c>
    </row>
    <row r="7" spans="2:15" x14ac:dyDescent="0.2">
      <c r="B7" s="38">
        <f>B6+1</f>
        <v>2018</v>
      </c>
      <c r="C7" s="39">
        <f>C6*(1+D6)</f>
        <v>202.55438877080181</v>
      </c>
      <c r="D7" s="40">
        <f t="shared" si="0"/>
        <v>-5.6721423818991895E-2</v>
      </c>
      <c r="E7" s="39">
        <f>E6*(1+F6)</f>
        <v>202.15384867747463</v>
      </c>
      <c r="F7" s="40">
        <f t="shared" si="1"/>
        <v>-6.0207342708806781E-2</v>
      </c>
      <c r="G7" s="80"/>
      <c r="H7" s="39">
        <f>H6*(1+I6)</f>
        <v>143.71749000000003</v>
      </c>
      <c r="I7" s="41">
        <v>1.4999999999999999E-2</v>
      </c>
      <c r="J7" s="39">
        <f>J6*(1+K6)</f>
        <v>143.71749000000003</v>
      </c>
      <c r="K7" s="41">
        <v>1.4999999999999999E-2</v>
      </c>
      <c r="L7" s="39">
        <f>L6*(1+M6)</f>
        <v>96.486390000000014</v>
      </c>
      <c r="M7" s="41">
        <v>1.4999999999999999E-2</v>
      </c>
      <c r="N7" s="39">
        <f>N6*(1+O6)</f>
        <v>96.486390000000014</v>
      </c>
      <c r="O7" s="41">
        <v>1.4999999999999999E-2</v>
      </c>
    </row>
    <row r="8" spans="2:15" x14ac:dyDescent="0.2">
      <c r="B8" s="38">
        <f t="shared" ref="B8:B31" si="2">B7+1</f>
        <v>2019</v>
      </c>
      <c r="C8" s="39">
        <f t="shared" ref="C8:C31" si="3">C7*(1+D7)</f>
        <v>191.06521543893629</v>
      </c>
      <c r="D8" s="40">
        <f t="shared" si="0"/>
        <v>-5.2467317032567504E-2</v>
      </c>
      <c r="E8" s="39">
        <f t="shared" ref="E8:E23" si="4">E7*(1+F7)</f>
        <v>189.98270263024565</v>
      </c>
      <c r="F8" s="40">
        <f t="shared" si="1"/>
        <v>-5.7377597601492858E-2</v>
      </c>
      <c r="G8" s="80"/>
      <c r="H8" s="39">
        <f t="shared" ref="H8:H30" si="5">H7*(1+I7)</f>
        <v>145.87325235</v>
      </c>
      <c r="I8" s="41">
        <v>0.01</v>
      </c>
      <c r="J8" s="39">
        <f t="shared" ref="J8:J30" si="6">J7*(1+K7)</f>
        <v>145.87325235</v>
      </c>
      <c r="K8" s="41">
        <v>0.01</v>
      </c>
      <c r="L8" s="39">
        <f t="shared" ref="L8:L30" si="7">L7*(1+M7)</f>
        <v>97.933685850000003</v>
      </c>
      <c r="M8" s="41">
        <v>0.01</v>
      </c>
      <c r="N8" s="39">
        <f t="shared" ref="N8:N30" si="8">N7*(1+O7)</f>
        <v>97.933685850000003</v>
      </c>
      <c r="O8" s="41">
        <v>0.01</v>
      </c>
    </row>
    <row r="9" spans="2:15" x14ac:dyDescent="0.2">
      <c r="B9" s="38">
        <f t="shared" si="2"/>
        <v>2020</v>
      </c>
      <c r="C9" s="39">
        <f t="shared" si="3"/>
        <v>181.04053620660582</v>
      </c>
      <c r="D9" s="40">
        <f t="shared" si="0"/>
        <v>-4.8532268255124945E-2</v>
      </c>
      <c r="E9" s="39">
        <f t="shared" si="4"/>
        <v>179.08195156748334</v>
      </c>
      <c r="F9" s="40">
        <f t="shared" si="1"/>
        <v>-5.4680850514222688E-2</v>
      </c>
      <c r="G9" s="80"/>
      <c r="H9" s="39">
        <f t="shared" si="5"/>
        <v>147.33198487350001</v>
      </c>
      <c r="I9" s="41">
        <v>6.0000000000000001E-3</v>
      </c>
      <c r="J9" s="39">
        <f t="shared" si="6"/>
        <v>147.33198487350001</v>
      </c>
      <c r="K9" s="41">
        <v>6.0000000000000001E-3</v>
      </c>
      <c r="L9" s="39">
        <f t="shared" si="7"/>
        <v>98.913022708500009</v>
      </c>
      <c r="M9" s="41">
        <v>6.0000000000000001E-3</v>
      </c>
      <c r="N9" s="39">
        <f t="shared" si="8"/>
        <v>98.913022708500009</v>
      </c>
      <c r="O9" s="41">
        <v>6.0000000000000001E-3</v>
      </c>
    </row>
    <row r="10" spans="2:15" x14ac:dyDescent="0.2">
      <c r="B10" s="38">
        <f t="shared" si="2"/>
        <v>2021</v>
      </c>
      <c r="C10" s="39">
        <f t="shared" si="3"/>
        <v>172.25422833837519</v>
      </c>
      <c r="D10" s="40">
        <f t="shared" si="0"/>
        <v>-4.4892348135990578E-2</v>
      </c>
      <c r="E10" s="39">
        <f t="shared" si="4"/>
        <v>169.28959814402651</v>
      </c>
      <c r="F10" s="40">
        <f t="shared" si="1"/>
        <v>-5.2110850540054217E-2</v>
      </c>
      <c r="G10" s="80"/>
      <c r="H10" s="39">
        <f t="shared" si="5"/>
        <v>148.215976782741</v>
      </c>
      <c r="I10" s="41">
        <v>6.0000000000000001E-3</v>
      </c>
      <c r="J10" s="39">
        <f t="shared" si="6"/>
        <v>148.215976782741</v>
      </c>
      <c r="K10" s="41">
        <v>6.0000000000000001E-3</v>
      </c>
      <c r="L10" s="39">
        <f t="shared" si="7"/>
        <v>99.506500844751002</v>
      </c>
      <c r="M10" s="41">
        <v>6.0000000000000001E-3</v>
      </c>
      <c r="N10" s="39">
        <f t="shared" si="8"/>
        <v>99.506500844751002</v>
      </c>
      <c r="O10" s="41">
        <v>6.0000000000000001E-3</v>
      </c>
    </row>
    <row r="11" spans="2:15" x14ac:dyDescent="0.2">
      <c r="B11" s="38">
        <f t="shared" si="2"/>
        <v>2022</v>
      </c>
      <c r="C11" s="42">
        <f t="shared" si="3"/>
        <v>164.52133155191243</v>
      </c>
      <c r="D11" s="40">
        <f t="shared" si="0"/>
        <v>-4.1525422025791285E-2</v>
      </c>
      <c r="E11" s="42">
        <f t="shared" si="4"/>
        <v>160.4677731971573</v>
      </c>
      <c r="F11" s="40">
        <f t="shared" si="1"/>
        <v>-4.9661640564671664E-2</v>
      </c>
      <c r="G11" s="80"/>
      <c r="H11" s="42">
        <f t="shared" si="5"/>
        <v>149.10527264343744</v>
      </c>
      <c r="I11" s="41">
        <v>6.0000000000000001E-3</v>
      </c>
      <c r="J11" s="42">
        <f t="shared" si="6"/>
        <v>149.10527264343744</v>
      </c>
      <c r="K11" s="41">
        <v>6.0000000000000001E-3</v>
      </c>
      <c r="L11" s="42">
        <f t="shared" si="7"/>
        <v>100.10353984981951</v>
      </c>
      <c r="M11" s="41">
        <v>6.0000000000000001E-3</v>
      </c>
      <c r="N11" s="42">
        <f t="shared" si="8"/>
        <v>100.10353984981951</v>
      </c>
      <c r="O11" s="41">
        <v>6.0000000000000001E-3</v>
      </c>
    </row>
    <row r="12" spans="2:15" x14ac:dyDescent="0.2">
      <c r="B12" s="38">
        <f t="shared" si="2"/>
        <v>2023</v>
      </c>
      <c r="C12" s="42">
        <f t="shared" si="3"/>
        <v>157.68951382697415</v>
      </c>
      <c r="D12" s="40">
        <f t="shared" si="0"/>
        <v>-3.8411015373856938E-2</v>
      </c>
      <c r="E12" s="42">
        <f t="shared" si="4"/>
        <v>152.49868032242682</v>
      </c>
      <c r="F12" s="40">
        <f t="shared" si="1"/>
        <v>-4.7327543458132094E-2</v>
      </c>
      <c r="G12" s="80"/>
      <c r="H12" s="42">
        <f t="shared" si="5"/>
        <v>149.99990427929808</v>
      </c>
      <c r="I12" s="41">
        <v>6.0000000000000001E-3</v>
      </c>
      <c r="J12" s="42">
        <f t="shared" si="6"/>
        <v>149.99990427929808</v>
      </c>
      <c r="K12" s="41">
        <v>6.0000000000000001E-3</v>
      </c>
      <c r="L12" s="42">
        <f t="shared" si="7"/>
        <v>100.70416108891843</v>
      </c>
      <c r="M12" s="41">
        <v>6.0000000000000001E-3</v>
      </c>
      <c r="N12" s="42">
        <f t="shared" si="8"/>
        <v>100.70416108891843</v>
      </c>
      <c r="O12" s="41">
        <v>6.0000000000000001E-3</v>
      </c>
    </row>
    <row r="13" spans="2:15" x14ac:dyDescent="0.2">
      <c r="B13" s="38">
        <f t="shared" si="2"/>
        <v>2024</v>
      </c>
      <c r="C13" s="42">
        <f t="shared" si="3"/>
        <v>151.63249948707022</v>
      </c>
      <c r="D13" s="40">
        <f t="shared" si="0"/>
        <v>-3.5530189220817666E-2</v>
      </c>
      <c r="E13" s="42">
        <f t="shared" si="4"/>
        <v>145.28129240215938</v>
      </c>
      <c r="F13" s="40">
        <f t="shared" si="1"/>
        <v>-4.5103148915599883E-2</v>
      </c>
      <c r="G13" s="80"/>
      <c r="H13" s="42">
        <f t="shared" si="5"/>
        <v>150.89990370497387</v>
      </c>
      <c r="I13" s="41">
        <v>6.0000000000000001E-3</v>
      </c>
      <c r="J13" s="42">
        <f t="shared" si="6"/>
        <v>150.89990370497387</v>
      </c>
      <c r="K13" s="41">
        <v>6.0000000000000001E-3</v>
      </c>
      <c r="L13" s="42">
        <f t="shared" si="7"/>
        <v>101.30838605545193</v>
      </c>
      <c r="M13" s="41">
        <v>6.0000000000000001E-3</v>
      </c>
      <c r="N13" s="42">
        <f t="shared" si="8"/>
        <v>101.30838605545193</v>
      </c>
      <c r="O13" s="41">
        <v>6.0000000000000001E-3</v>
      </c>
    </row>
    <row r="14" spans="2:15" x14ac:dyDescent="0.2">
      <c r="B14" s="38">
        <f t="shared" si="2"/>
        <v>2025</v>
      </c>
      <c r="C14" s="42">
        <f t="shared" si="3"/>
        <v>146.24496808826908</v>
      </c>
      <c r="D14" s="40">
        <f t="shared" si="0"/>
        <v>-3.2865425029256344E-2</v>
      </c>
      <c r="E14" s="42">
        <f t="shared" si="4"/>
        <v>138.72864863629397</v>
      </c>
      <c r="F14" s="40">
        <f t="shared" si="1"/>
        <v>-4.2983300916566686E-2</v>
      </c>
      <c r="G14" s="80"/>
      <c r="H14" s="42">
        <f t="shared" si="5"/>
        <v>151.8053031272037</v>
      </c>
      <c r="I14" s="41">
        <f t="shared" ref="I14:I31" si="9">I$5</f>
        <v>0</v>
      </c>
      <c r="J14" s="42">
        <f t="shared" si="6"/>
        <v>151.8053031272037</v>
      </c>
      <c r="K14" s="41">
        <f t="shared" ref="K14:K30" si="10">K$5</f>
        <v>0.01</v>
      </c>
      <c r="L14" s="42">
        <f t="shared" si="7"/>
        <v>101.91623637178465</v>
      </c>
      <c r="M14" s="41">
        <f t="shared" ref="M14:M31" si="11">M$5</f>
        <v>0</v>
      </c>
      <c r="N14" s="42">
        <f t="shared" si="8"/>
        <v>101.91623637178465</v>
      </c>
      <c r="O14" s="41">
        <f t="shared" ref="O14:O30" si="12">O$5</f>
        <v>0.01</v>
      </c>
    </row>
    <row r="15" spans="2:15" x14ac:dyDescent="0.2">
      <c r="B15" s="38">
        <f t="shared" si="2"/>
        <v>2026</v>
      </c>
      <c r="C15" s="42">
        <f t="shared" si="3"/>
        <v>141.43856505365807</v>
      </c>
      <c r="D15" s="40">
        <f t="shared" si="0"/>
        <v>-3.0400518152062121E-2</v>
      </c>
      <c r="E15" s="42">
        <f t="shared" si="4"/>
        <v>132.7656333862115</v>
      </c>
      <c r="F15" s="40">
        <f t="shared" si="1"/>
        <v>-4.0963085773488048E-2</v>
      </c>
      <c r="G15" s="80"/>
      <c r="H15" s="42">
        <f t="shared" si="5"/>
        <v>151.8053031272037</v>
      </c>
      <c r="I15" s="41">
        <f t="shared" si="9"/>
        <v>0</v>
      </c>
      <c r="J15" s="42">
        <f t="shared" si="6"/>
        <v>153.32335615847575</v>
      </c>
      <c r="K15" s="41">
        <f t="shared" si="10"/>
        <v>0.01</v>
      </c>
      <c r="L15" s="42">
        <f t="shared" si="7"/>
        <v>101.91623637178465</v>
      </c>
      <c r="M15" s="41">
        <f t="shared" si="11"/>
        <v>0</v>
      </c>
      <c r="N15" s="42">
        <f t="shared" si="8"/>
        <v>102.9353987355025</v>
      </c>
      <c r="O15" s="41">
        <f t="shared" si="12"/>
        <v>0.01</v>
      </c>
    </row>
    <row r="16" spans="2:15" x14ac:dyDescent="0.2">
      <c r="B16" s="38">
        <f t="shared" si="2"/>
        <v>2027</v>
      </c>
      <c r="C16" s="42">
        <f t="shared" si="3"/>
        <v>137.13875938934271</v>
      </c>
      <c r="D16" s="40">
        <f t="shared" si="0"/>
        <v>-2.8120479290657464E-2</v>
      </c>
      <c r="E16" s="42">
        <f t="shared" si="4"/>
        <v>127.32714335804066</v>
      </c>
      <c r="F16" s="40">
        <f t="shared" si="1"/>
        <v>-3.9037820742134105E-2</v>
      </c>
      <c r="G16" s="80"/>
      <c r="H16" s="42">
        <f t="shared" si="5"/>
        <v>151.8053031272037</v>
      </c>
      <c r="I16" s="41">
        <f t="shared" si="9"/>
        <v>0</v>
      </c>
      <c r="J16" s="42">
        <f t="shared" si="6"/>
        <v>154.8565897200605</v>
      </c>
      <c r="K16" s="41">
        <f t="shared" si="10"/>
        <v>0.01</v>
      </c>
      <c r="L16" s="42">
        <f t="shared" si="7"/>
        <v>101.91623637178465</v>
      </c>
      <c r="M16" s="41">
        <f t="shared" si="11"/>
        <v>0</v>
      </c>
      <c r="N16" s="42">
        <f t="shared" si="8"/>
        <v>103.96475272285753</v>
      </c>
      <c r="O16" s="41">
        <f t="shared" si="12"/>
        <v>0.01</v>
      </c>
    </row>
    <row r="17" spans="2:15" x14ac:dyDescent="0.2">
      <c r="B17" s="38">
        <f t="shared" si="2"/>
        <v>2028</v>
      </c>
      <c r="C17" s="42">
        <f t="shared" si="3"/>
        <v>133.28235174598825</v>
      </c>
      <c r="D17" s="40">
        <f t="shared" si="0"/>
        <v>-2.6011443343858156E-2</v>
      </c>
      <c r="E17" s="42">
        <f t="shared" si="4"/>
        <v>122.35656916002145</v>
      </c>
      <c r="F17" s="40">
        <f t="shared" si="1"/>
        <v>-3.7203043167253799E-2</v>
      </c>
      <c r="G17" s="80"/>
      <c r="H17" s="42">
        <f t="shared" si="5"/>
        <v>151.8053031272037</v>
      </c>
      <c r="I17" s="41">
        <f t="shared" si="9"/>
        <v>0</v>
      </c>
      <c r="J17" s="42">
        <f t="shared" si="6"/>
        <v>156.4051556172611</v>
      </c>
      <c r="K17" s="41">
        <f t="shared" si="10"/>
        <v>0.01</v>
      </c>
      <c r="L17" s="42">
        <f t="shared" si="7"/>
        <v>101.91623637178465</v>
      </c>
      <c r="M17" s="41">
        <f t="shared" si="11"/>
        <v>0</v>
      </c>
      <c r="N17" s="42">
        <f t="shared" si="8"/>
        <v>105.00440025008611</v>
      </c>
      <c r="O17" s="41">
        <f t="shared" si="12"/>
        <v>0.01</v>
      </c>
    </row>
    <row r="18" spans="2:15" x14ac:dyDescent="0.2">
      <c r="B18" s="38">
        <f t="shared" si="2"/>
        <v>2029</v>
      </c>
      <c r="C18" s="42">
        <f t="shared" si="3"/>
        <v>129.81548540481131</v>
      </c>
      <c r="D18" s="40">
        <f t="shared" si="0"/>
        <v>-2.4060585093068795E-2</v>
      </c>
      <c r="E18" s="42">
        <f t="shared" si="4"/>
        <v>117.8045324357641</v>
      </c>
      <c r="F18" s="40">
        <f t="shared" si="1"/>
        <v>-3.5454500138392867E-2</v>
      </c>
      <c r="G18" s="80"/>
      <c r="H18" s="42">
        <f t="shared" si="5"/>
        <v>151.8053031272037</v>
      </c>
      <c r="I18" s="41">
        <f t="shared" si="9"/>
        <v>0</v>
      </c>
      <c r="J18" s="42">
        <f t="shared" si="6"/>
        <v>157.96920717343372</v>
      </c>
      <c r="K18" s="41">
        <f t="shared" si="10"/>
        <v>0.01</v>
      </c>
      <c r="L18" s="42">
        <f t="shared" si="7"/>
        <v>101.91623637178465</v>
      </c>
      <c r="M18" s="41">
        <f t="shared" si="11"/>
        <v>0</v>
      </c>
      <c r="N18" s="42">
        <f t="shared" si="8"/>
        <v>106.05444425258698</v>
      </c>
      <c r="O18" s="41">
        <f t="shared" si="12"/>
        <v>0.01</v>
      </c>
    </row>
    <row r="19" spans="2:15" x14ac:dyDescent="0.2">
      <c r="B19" s="38">
        <f t="shared" si="2"/>
        <v>2030</v>
      </c>
      <c r="C19" s="42">
        <f t="shared" si="3"/>
        <v>126.69204887183082</v>
      </c>
      <c r="D19" s="40">
        <f t="shared" si="0"/>
        <v>-2.2256041211088637E-2</v>
      </c>
      <c r="E19" s="42">
        <f t="shared" si="4"/>
        <v>113.627831624217</v>
      </c>
      <c r="F19" s="40">
        <f t="shared" si="1"/>
        <v>-3.3788138631888398E-2</v>
      </c>
      <c r="G19" s="80"/>
      <c r="H19" s="42">
        <f t="shared" si="5"/>
        <v>151.8053031272037</v>
      </c>
      <c r="I19" s="41">
        <f t="shared" si="9"/>
        <v>0</v>
      </c>
      <c r="J19" s="42">
        <f t="shared" si="6"/>
        <v>159.54889924516806</v>
      </c>
      <c r="K19" s="41">
        <f t="shared" si="10"/>
        <v>0.01</v>
      </c>
      <c r="L19" s="42">
        <f t="shared" si="7"/>
        <v>101.91623637178465</v>
      </c>
      <c r="M19" s="41">
        <f t="shared" si="11"/>
        <v>0</v>
      </c>
      <c r="N19" s="42">
        <f t="shared" si="8"/>
        <v>107.11498869511284</v>
      </c>
      <c r="O19" s="41">
        <f t="shared" si="12"/>
        <v>0.01</v>
      </c>
    </row>
    <row r="20" spans="2:15" x14ac:dyDescent="0.2">
      <c r="B20" s="38">
        <f t="shared" si="2"/>
        <v>2031</v>
      </c>
      <c r="C20" s="39">
        <f t="shared" si="3"/>
        <v>123.87238541102211</v>
      </c>
      <c r="D20" s="40">
        <f t="shared" si="0"/>
        <v>-2.0586838120256992E-2</v>
      </c>
      <c r="E20" s="39">
        <f t="shared" si="4"/>
        <v>109.78855869685708</v>
      </c>
      <c r="F20" s="40">
        <f t="shared" si="1"/>
        <v>-3.2200096116189639E-2</v>
      </c>
      <c r="G20" s="80"/>
      <c r="H20" s="39">
        <f t="shared" si="5"/>
        <v>151.8053031272037</v>
      </c>
      <c r="I20" s="41">
        <f t="shared" si="9"/>
        <v>0</v>
      </c>
      <c r="J20" s="39">
        <f t="shared" si="6"/>
        <v>161.14438823761975</v>
      </c>
      <c r="K20" s="41">
        <f t="shared" si="10"/>
        <v>0.01</v>
      </c>
      <c r="L20" s="39">
        <f t="shared" si="7"/>
        <v>101.91623637178465</v>
      </c>
      <c r="M20" s="41">
        <f t="shared" si="11"/>
        <v>0</v>
      </c>
      <c r="N20" s="39">
        <f t="shared" si="8"/>
        <v>108.18613858206398</v>
      </c>
      <c r="O20" s="41">
        <f t="shared" si="12"/>
        <v>0.01</v>
      </c>
    </row>
    <row r="21" spans="2:15" x14ac:dyDescent="0.2">
      <c r="B21" s="38">
        <f t="shared" si="2"/>
        <v>2032</v>
      </c>
      <c r="C21" s="39">
        <f t="shared" si="3"/>
        <v>121.32224466499531</v>
      </c>
      <c r="D21" s="40">
        <f t="shared" si="0"/>
        <v>-1.9042825261237718E-2</v>
      </c>
      <c r="E21" s="39">
        <f t="shared" si="4"/>
        <v>106.25335655436035</v>
      </c>
      <c r="F21" s="40">
        <f t="shared" si="1"/>
        <v>-3.0686691598728725E-2</v>
      </c>
      <c r="G21" s="80"/>
      <c r="H21" s="39">
        <f t="shared" si="5"/>
        <v>151.8053031272037</v>
      </c>
      <c r="I21" s="41">
        <f t="shared" si="9"/>
        <v>0</v>
      </c>
      <c r="J21" s="39">
        <f t="shared" si="6"/>
        <v>162.75583211999594</v>
      </c>
      <c r="K21" s="41">
        <f t="shared" si="10"/>
        <v>0.01</v>
      </c>
      <c r="L21" s="39">
        <f t="shared" si="7"/>
        <v>101.91623637178465</v>
      </c>
      <c r="M21" s="41">
        <f t="shared" si="11"/>
        <v>0</v>
      </c>
      <c r="N21" s="39">
        <f t="shared" si="8"/>
        <v>109.26799996788462</v>
      </c>
      <c r="O21" s="41">
        <f t="shared" si="12"/>
        <v>0.01</v>
      </c>
    </row>
    <row r="22" spans="2:15" x14ac:dyDescent="0.2">
      <c r="B22" s="38">
        <f t="shared" si="2"/>
        <v>2033</v>
      </c>
      <c r="C22" s="39">
        <f t="shared" si="3"/>
        <v>119.01192635953868</v>
      </c>
      <c r="D22" s="40">
        <f t="shared" si="0"/>
        <v>-1.7614613366644889E-2</v>
      </c>
      <c r="E22" s="39">
        <f t="shared" si="4"/>
        <v>102.99279257044694</v>
      </c>
      <c r="F22" s="40">
        <f t="shared" si="1"/>
        <v>-2.9244417093588472E-2</v>
      </c>
      <c r="G22" s="80"/>
      <c r="H22" s="39">
        <f t="shared" si="5"/>
        <v>151.8053031272037</v>
      </c>
      <c r="I22" s="41">
        <f t="shared" si="9"/>
        <v>0</v>
      </c>
      <c r="J22" s="39">
        <f t="shared" si="6"/>
        <v>164.3833904411959</v>
      </c>
      <c r="K22" s="41">
        <f t="shared" si="10"/>
        <v>0.01</v>
      </c>
      <c r="L22" s="39">
        <f t="shared" si="7"/>
        <v>101.91623637178465</v>
      </c>
      <c r="M22" s="41">
        <f t="shared" si="11"/>
        <v>0</v>
      </c>
      <c r="N22" s="39">
        <f t="shared" si="8"/>
        <v>110.36067996756347</v>
      </c>
      <c r="O22" s="41">
        <f t="shared" si="12"/>
        <v>0.01</v>
      </c>
    </row>
    <row r="23" spans="2:15" x14ac:dyDescent="0.2">
      <c r="B23" s="38">
        <f t="shared" si="2"/>
        <v>2034</v>
      </c>
      <c r="C23" s="39">
        <f t="shared" si="3"/>
        <v>116.91557729069578</v>
      </c>
      <c r="D23" s="40">
        <f t="shared" si="0"/>
        <v>-1.6293517364146522E-2</v>
      </c>
      <c r="E23" s="39">
        <f t="shared" si="4"/>
        <v>99.980828386883346</v>
      </c>
      <c r="F23" s="40">
        <f t="shared" si="1"/>
        <v>-2.7869929490189814E-2</v>
      </c>
      <c r="G23" s="80"/>
      <c r="H23" s="39">
        <f t="shared" si="5"/>
        <v>151.8053031272037</v>
      </c>
      <c r="I23" s="41">
        <f t="shared" si="9"/>
        <v>0</v>
      </c>
      <c r="J23" s="39">
        <f t="shared" si="6"/>
        <v>166.02722434560786</v>
      </c>
      <c r="K23" s="41">
        <f t="shared" si="10"/>
        <v>0.01</v>
      </c>
      <c r="L23" s="39">
        <f t="shared" si="7"/>
        <v>101.91623637178465</v>
      </c>
      <c r="M23" s="41">
        <f t="shared" si="11"/>
        <v>0</v>
      </c>
      <c r="N23" s="39">
        <f t="shared" si="8"/>
        <v>111.4642867672391</v>
      </c>
      <c r="O23" s="41">
        <f t="shared" si="12"/>
        <v>0.01</v>
      </c>
    </row>
    <row r="24" spans="2:15" x14ac:dyDescent="0.2">
      <c r="B24" s="38">
        <f t="shared" si="2"/>
        <v>2035</v>
      </c>
      <c r="C24" s="39">
        <f t="shared" si="3"/>
        <v>115.01061130197061</v>
      </c>
      <c r="D24" s="40">
        <f t="shared" si="0"/>
        <v>-1.5071503561835535E-2</v>
      </c>
      <c r="E24" s="39">
        <f t="shared" ref="E24:E31" si="13">E23*(1+F23)</f>
        <v>97.194369749370139</v>
      </c>
      <c r="F24" s="40">
        <f t="shared" si="1"/>
        <v>-2.6560042804150891E-2</v>
      </c>
      <c r="G24" s="80"/>
      <c r="H24" s="39">
        <f t="shared" si="5"/>
        <v>151.8053031272037</v>
      </c>
      <c r="I24" s="41">
        <f t="shared" si="9"/>
        <v>0</v>
      </c>
      <c r="J24" s="39">
        <f t="shared" si="6"/>
        <v>167.68749658906395</v>
      </c>
      <c r="K24" s="41">
        <f t="shared" si="10"/>
        <v>0.01</v>
      </c>
      <c r="L24" s="39">
        <f t="shared" si="7"/>
        <v>101.91623637178465</v>
      </c>
      <c r="M24" s="41">
        <f t="shared" si="11"/>
        <v>0</v>
      </c>
      <c r="N24" s="39">
        <f t="shared" si="8"/>
        <v>112.57892963491149</v>
      </c>
      <c r="O24" s="41">
        <f t="shared" si="12"/>
        <v>0.01</v>
      </c>
    </row>
    <row r="25" spans="2:15" x14ac:dyDescent="0.2">
      <c r="B25" s="38">
        <f t="shared" si="2"/>
        <v>2036</v>
      </c>
      <c r="C25" s="39">
        <f t="shared" si="3"/>
        <v>113.27722846408409</v>
      </c>
      <c r="D25" s="40">
        <f t="shared" si="0"/>
        <v>-1.3941140794697869E-2</v>
      </c>
      <c r="E25" s="39">
        <f t="shared" si="13"/>
        <v>94.612883128504393</v>
      </c>
      <c r="F25" s="40">
        <f t="shared" si="1"/>
        <v>-2.5311720792355798E-2</v>
      </c>
      <c r="G25" s="80"/>
      <c r="H25" s="39">
        <f t="shared" si="5"/>
        <v>151.8053031272037</v>
      </c>
      <c r="I25" s="41">
        <f t="shared" si="9"/>
        <v>0</v>
      </c>
      <c r="J25" s="39">
        <f t="shared" si="6"/>
        <v>169.3643715549546</v>
      </c>
      <c r="K25" s="41">
        <f t="shared" si="10"/>
        <v>0.01</v>
      </c>
      <c r="L25" s="39">
        <f t="shared" si="7"/>
        <v>101.91623637178465</v>
      </c>
      <c r="M25" s="41">
        <f t="shared" si="11"/>
        <v>0</v>
      </c>
      <c r="N25" s="39">
        <f t="shared" si="8"/>
        <v>113.7047189312606</v>
      </c>
      <c r="O25" s="41">
        <f t="shared" si="12"/>
        <v>0.01</v>
      </c>
    </row>
    <row r="26" spans="2:15" x14ac:dyDescent="0.2">
      <c r="B26" s="38">
        <f t="shared" si="2"/>
        <v>2037</v>
      </c>
      <c r="C26" s="39">
        <f t="shared" si="3"/>
        <v>111.69801467323313</v>
      </c>
      <c r="D26" s="40">
        <f t="shared" si="0"/>
        <v>-1.2895555235095529E-2</v>
      </c>
      <c r="E26" s="39">
        <f t="shared" si="13"/>
        <v>92.218068247395905</v>
      </c>
      <c r="F26" s="40">
        <f t="shared" si="1"/>
        <v>-2.4122069915115073E-2</v>
      </c>
      <c r="G26" s="80"/>
      <c r="H26" s="39">
        <f t="shared" si="5"/>
        <v>151.8053031272037</v>
      </c>
      <c r="I26" s="41">
        <f t="shared" si="9"/>
        <v>0</v>
      </c>
      <c r="J26" s="39">
        <f t="shared" si="6"/>
        <v>171.05801527050414</v>
      </c>
      <c r="K26" s="41">
        <f t="shared" si="10"/>
        <v>0.01</v>
      </c>
      <c r="L26" s="39">
        <f t="shared" si="7"/>
        <v>101.91623637178465</v>
      </c>
      <c r="M26" s="41">
        <f t="shared" si="11"/>
        <v>0</v>
      </c>
      <c r="N26" s="39">
        <f t="shared" si="8"/>
        <v>114.84176612057321</v>
      </c>
      <c r="O26" s="41">
        <f t="shared" si="12"/>
        <v>0.01</v>
      </c>
    </row>
    <row r="27" spans="2:15" x14ac:dyDescent="0.2">
      <c r="B27" s="38">
        <f t="shared" si="2"/>
        <v>2038</v>
      </c>
      <c r="C27" s="39">
        <f t="shared" si="3"/>
        <v>110.25760675536394</v>
      </c>
      <c r="D27" s="40">
        <f t="shared" si="0"/>
        <v>-1.1928388592463365E-2</v>
      </c>
      <c r="E27" s="39">
        <f t="shared" si="13"/>
        <v>89.99357755769536</v>
      </c>
      <c r="F27" s="40">
        <f t="shared" si="1"/>
        <v>-2.2988332629104664E-2</v>
      </c>
      <c r="G27" s="80"/>
      <c r="H27" s="39">
        <f t="shared" si="5"/>
        <v>151.8053031272037</v>
      </c>
      <c r="I27" s="41">
        <f t="shared" si="9"/>
        <v>0</v>
      </c>
      <c r="J27" s="39">
        <f t="shared" si="6"/>
        <v>172.76859542320918</v>
      </c>
      <c r="K27" s="41">
        <f t="shared" si="10"/>
        <v>0.01</v>
      </c>
      <c r="L27" s="39">
        <f t="shared" si="7"/>
        <v>101.91623637178465</v>
      </c>
      <c r="M27" s="41">
        <f t="shared" si="11"/>
        <v>0</v>
      </c>
      <c r="N27" s="39">
        <f t="shared" si="8"/>
        <v>115.99018378177894</v>
      </c>
      <c r="O27" s="41">
        <f t="shared" si="12"/>
        <v>0.01</v>
      </c>
    </row>
    <row r="28" spans="2:15" x14ac:dyDescent="0.2">
      <c r="B28" s="52">
        <f t="shared" si="2"/>
        <v>2039</v>
      </c>
      <c r="C28" s="42">
        <f t="shared" si="3"/>
        <v>108.94241117671095</v>
      </c>
      <c r="D28" s="53">
        <f t="shared" si="0"/>
        <v>-1.1033759448028613E-2</v>
      </c>
      <c r="E28" s="42">
        <f t="shared" si="13"/>
        <v>87.924775262315933</v>
      </c>
      <c r="F28" s="53">
        <f t="shared" si="1"/>
        <v>-2.1907880995536744E-2</v>
      </c>
      <c r="G28" s="80"/>
      <c r="H28" s="42">
        <f t="shared" si="5"/>
        <v>151.8053031272037</v>
      </c>
      <c r="I28" s="54">
        <f t="shared" si="9"/>
        <v>0</v>
      </c>
      <c r="J28" s="42">
        <f t="shared" si="6"/>
        <v>174.49628137744128</v>
      </c>
      <c r="K28" s="54">
        <f t="shared" si="10"/>
        <v>0.01</v>
      </c>
      <c r="L28" s="42">
        <f t="shared" si="7"/>
        <v>101.91623637178465</v>
      </c>
      <c r="M28" s="54">
        <f t="shared" si="11"/>
        <v>0</v>
      </c>
      <c r="N28" s="42">
        <f t="shared" si="8"/>
        <v>117.15008561959672</v>
      </c>
      <c r="O28" s="54">
        <f t="shared" si="12"/>
        <v>0.01</v>
      </c>
    </row>
    <row r="29" spans="2:15" x14ac:dyDescent="0.2">
      <c r="B29" s="38">
        <f t="shared" si="2"/>
        <v>2040</v>
      </c>
      <c r="C29" s="108">
        <f t="shared" si="3"/>
        <v>107.74036681809889</v>
      </c>
      <c r="D29" s="40">
        <f t="shared" si="0"/>
        <v>-1.0206227489426468E-2</v>
      </c>
      <c r="E29" s="108">
        <f t="shared" si="13"/>
        <v>85.998529749309796</v>
      </c>
      <c r="F29" s="40">
        <f t="shared" si="1"/>
        <v>-2.0878210588746518E-2</v>
      </c>
      <c r="G29" s="80"/>
      <c r="H29" s="39">
        <f t="shared" si="5"/>
        <v>151.8053031272037</v>
      </c>
      <c r="I29" s="41">
        <f t="shared" si="9"/>
        <v>0</v>
      </c>
      <c r="J29" s="39">
        <f t="shared" si="6"/>
        <v>176.24124419121569</v>
      </c>
      <c r="K29" s="41">
        <f t="shared" si="10"/>
        <v>0.01</v>
      </c>
      <c r="L29" s="39">
        <f t="shared" si="7"/>
        <v>101.91623637178465</v>
      </c>
      <c r="M29" s="41">
        <f t="shared" si="11"/>
        <v>0</v>
      </c>
      <c r="N29" s="39">
        <f t="shared" si="8"/>
        <v>118.32158647579269</v>
      </c>
      <c r="O29" s="41">
        <f t="shared" si="12"/>
        <v>0.01</v>
      </c>
    </row>
    <row r="30" spans="2:15" x14ac:dyDescent="0.2">
      <c r="B30" s="38">
        <f t="shared" si="2"/>
        <v>2041</v>
      </c>
      <c r="C30" s="39">
        <f t="shared" si="3"/>
        <v>106.64074412455912</v>
      </c>
      <c r="D30" s="40">
        <f t="shared" si="0"/>
        <v>-9.4407604277194843E-3</v>
      </c>
      <c r="E30" s="39">
        <f t="shared" si="13"/>
        <v>84.203034334881124</v>
      </c>
      <c r="F30" s="40">
        <f t="shared" si="1"/>
        <v>-1.9896934691075431E-2</v>
      </c>
      <c r="G30" s="80"/>
      <c r="H30" s="39">
        <f t="shared" si="5"/>
        <v>151.8053031272037</v>
      </c>
      <c r="I30" s="41">
        <f t="shared" si="9"/>
        <v>0</v>
      </c>
      <c r="J30" s="39">
        <f t="shared" si="6"/>
        <v>178.00365663312783</v>
      </c>
      <c r="K30" s="41">
        <f t="shared" si="10"/>
        <v>0.01</v>
      </c>
      <c r="L30" s="39">
        <f t="shared" si="7"/>
        <v>101.91623637178465</v>
      </c>
      <c r="M30" s="41">
        <f t="shared" si="11"/>
        <v>0</v>
      </c>
      <c r="N30" s="39">
        <f t="shared" si="8"/>
        <v>119.50480234055061</v>
      </c>
      <c r="O30" s="41">
        <f t="shared" si="12"/>
        <v>0.01</v>
      </c>
    </row>
    <row r="31" spans="2:15" ht="17" thickBot="1" x14ac:dyDescent="0.25">
      <c r="B31" s="43">
        <f t="shared" si="2"/>
        <v>2042</v>
      </c>
      <c r="C31" s="44">
        <f t="shared" si="3"/>
        <v>105.63397440744542</v>
      </c>
      <c r="D31" s="45">
        <f t="shared" si="0"/>
        <v>-8.7327033956405235E-3</v>
      </c>
      <c r="E31" s="44">
        <f t="shared" si="13"/>
        <v>82.527652059929608</v>
      </c>
      <c r="F31" s="45">
        <f t="shared" si="1"/>
        <v>-1.8961778760594884E-2</v>
      </c>
      <c r="G31" s="81"/>
      <c r="H31" s="44">
        <f>H30*(1+I30)</f>
        <v>151.8053031272037</v>
      </c>
      <c r="I31" s="46">
        <f t="shared" si="9"/>
        <v>0</v>
      </c>
      <c r="J31" s="44">
        <f>J30*(1+K30)</f>
        <v>179.78369319945912</v>
      </c>
      <c r="K31" s="46">
        <f>K$5</f>
        <v>0.01</v>
      </c>
      <c r="L31" s="44">
        <f>L30*(1+M30)</f>
        <v>101.91623637178465</v>
      </c>
      <c r="M31" s="46">
        <f t="shared" si="11"/>
        <v>0</v>
      </c>
      <c r="N31" s="44">
        <f>N30*(1+O30)</f>
        <v>120.69985036395612</v>
      </c>
      <c r="O31" s="46">
        <f>O$5</f>
        <v>0.01</v>
      </c>
    </row>
    <row r="32" spans="2:15" s="9" customFormat="1" x14ac:dyDescent="0.2">
      <c r="B32" s="20" t="s">
        <v>18</v>
      </c>
      <c r="D32" s="21">
        <v>0.92500000000000004</v>
      </c>
      <c r="F32" s="21">
        <v>0.95299999999999996</v>
      </c>
      <c r="G32" s="22"/>
    </row>
    <row r="33" spans="2:12" s="9" customFormat="1" x14ac:dyDescent="0.2">
      <c r="B33" s="20" t="s">
        <v>79</v>
      </c>
      <c r="C33" s="114">
        <f>Costs!Q19</f>
        <v>107.89325842696628</v>
      </c>
      <c r="D33" s="21"/>
      <c r="E33" s="115">
        <f>Costs!Q20</f>
        <v>86.31460674157303</v>
      </c>
      <c r="F33" s="21"/>
      <c r="G33" s="21"/>
      <c r="H33" s="22"/>
      <c r="L33" s="22"/>
    </row>
    <row r="34" spans="2:12" x14ac:dyDescent="0.2">
      <c r="B34" s="19"/>
      <c r="D34" s="6"/>
      <c r="F34" s="6"/>
    </row>
    <row r="35" spans="2:12" x14ac:dyDescent="0.2">
      <c r="B35" s="4" t="s">
        <v>1</v>
      </c>
      <c r="D35" s="6"/>
      <c r="F35" s="6"/>
    </row>
    <row r="36" spans="2:12" x14ac:dyDescent="0.2">
      <c r="B36" s="7" t="s">
        <v>7</v>
      </c>
      <c r="C36" s="5"/>
      <c r="D36" s="5"/>
      <c r="E36" s="5"/>
      <c r="F36" s="5"/>
    </row>
    <row r="37" spans="2:12" x14ac:dyDescent="0.2">
      <c r="B37" t="s">
        <v>11</v>
      </c>
    </row>
    <row r="38" spans="2:12" x14ac:dyDescent="0.2">
      <c r="B38" t="s">
        <v>20</v>
      </c>
    </row>
    <row r="39" spans="2:12" x14ac:dyDescent="0.2">
      <c r="B39" t="s">
        <v>85</v>
      </c>
    </row>
  </sheetData>
  <mergeCells count="6">
    <mergeCell ref="J3:K3"/>
    <mergeCell ref="C3:D3"/>
    <mergeCell ref="L3:M3"/>
    <mergeCell ref="N3:O3"/>
    <mergeCell ref="E3:F3"/>
    <mergeCell ref="H3:I3"/>
  </mergeCells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C14" sqref="C14"/>
    </sheetView>
  </sheetViews>
  <sheetFormatPr baseColWidth="10" defaultColWidth="11" defaultRowHeight="16" x14ac:dyDescent="0.2"/>
  <cols>
    <col min="1" max="1" width="2.83203125" customWidth="1"/>
    <col min="2" max="6" width="11.6640625" customWidth="1"/>
    <col min="7" max="7" width="2.83203125" customWidth="1"/>
    <col min="8" max="11" width="11.6640625" customWidth="1"/>
  </cols>
  <sheetData>
    <row r="1" spans="2:11" ht="21" x14ac:dyDescent="0.35">
      <c r="B1" s="18" t="s">
        <v>76</v>
      </c>
    </row>
    <row r="2" spans="2:11" ht="16.5" thickBot="1" x14ac:dyDescent="0.3">
      <c r="B2" s="1"/>
    </row>
    <row r="3" spans="2:11" ht="16.5" thickBot="1" x14ac:dyDescent="0.3">
      <c r="B3" s="50"/>
      <c r="C3" s="191" t="s">
        <v>78</v>
      </c>
      <c r="D3" s="192"/>
      <c r="E3" s="191" t="s">
        <v>77</v>
      </c>
      <c r="F3" s="192"/>
      <c r="G3" s="77"/>
      <c r="H3" s="191" t="s">
        <v>27</v>
      </c>
      <c r="I3" s="192"/>
      <c r="J3" s="191" t="s">
        <v>28</v>
      </c>
      <c r="K3" s="192"/>
    </row>
    <row r="4" spans="2:11" x14ac:dyDescent="0.2">
      <c r="B4" s="38"/>
      <c r="C4" s="47" t="s">
        <v>5</v>
      </c>
      <c r="D4" s="25" t="s">
        <v>10</v>
      </c>
      <c r="E4" s="47" t="s">
        <v>5</v>
      </c>
      <c r="F4" s="25" t="s">
        <v>10</v>
      </c>
      <c r="G4" s="78"/>
      <c r="H4" s="47" t="s">
        <v>5</v>
      </c>
      <c r="I4" s="76" t="s">
        <v>19</v>
      </c>
      <c r="J4" s="47" t="s">
        <v>5</v>
      </c>
      <c r="K4" s="76" t="s">
        <v>19</v>
      </c>
    </row>
    <row r="5" spans="2:11" ht="17" thickBot="1" x14ac:dyDescent="0.25">
      <c r="B5" s="51" t="s">
        <v>0</v>
      </c>
      <c r="C5" s="32" t="s">
        <v>6</v>
      </c>
      <c r="D5" s="49">
        <f>Costs!$D$31</f>
        <v>-0.12301817770273323</v>
      </c>
      <c r="E5" s="32" t="s">
        <v>6</v>
      </c>
      <c r="F5" s="49">
        <f>Costs!$D$31</f>
        <v>-0.12301817770273323</v>
      </c>
      <c r="G5" s="83"/>
      <c r="H5" s="32" t="s">
        <v>6</v>
      </c>
      <c r="I5" s="48">
        <v>0</v>
      </c>
      <c r="J5" s="32" t="s">
        <v>6</v>
      </c>
      <c r="K5" s="48">
        <v>0.01</v>
      </c>
    </row>
    <row r="6" spans="2:11" s="13" customFormat="1" x14ac:dyDescent="0.2">
      <c r="B6" s="35">
        <v>2017</v>
      </c>
      <c r="C6" s="36">
        <f>Costs!R10</f>
        <v>155.0561797752809</v>
      </c>
      <c r="D6" s="40">
        <f t="shared" ref="D6:D31" si="0">D5*D$32</f>
        <v>-9.8783596695294781E-2</v>
      </c>
      <c r="E6" s="36">
        <f>Costs!R10</f>
        <v>155.0561797752809</v>
      </c>
      <c r="F6" s="40">
        <f t="shared" ref="F6:F31" si="1">F5*F$32</f>
        <v>-0.10407337833651231</v>
      </c>
      <c r="G6" s="80"/>
      <c r="H6" s="36">
        <f>88*1.05*1.05</f>
        <v>97.02000000000001</v>
      </c>
      <c r="I6" s="37">
        <v>0.02</v>
      </c>
      <c r="J6" s="36">
        <f>H6</f>
        <v>97.02000000000001</v>
      </c>
      <c r="K6" s="37">
        <v>0.02</v>
      </c>
    </row>
    <row r="7" spans="2:11" x14ac:dyDescent="0.2">
      <c r="B7" s="38">
        <f>B6+1</f>
        <v>2018</v>
      </c>
      <c r="C7" s="39">
        <f>C6*(1+D6)</f>
        <v>139.73917264724642</v>
      </c>
      <c r="D7" s="40">
        <f t="shared" si="0"/>
        <v>-7.9323228146321714E-2</v>
      </c>
      <c r="E7" s="39">
        <f>E6*(1+F6)</f>
        <v>138.91895931411381</v>
      </c>
      <c r="F7" s="40">
        <f t="shared" si="1"/>
        <v>-8.804607807268941E-2</v>
      </c>
      <c r="G7" s="80"/>
      <c r="H7" s="39">
        <f>H6*(1+I6)</f>
        <v>98.960400000000007</v>
      </c>
      <c r="I7" s="41">
        <v>1.4999999999999999E-2</v>
      </c>
      <c r="J7" s="39">
        <f>J6*(1+K6)</f>
        <v>98.960400000000007</v>
      </c>
      <c r="K7" s="41">
        <v>1.4999999999999999E-2</v>
      </c>
    </row>
    <row r="8" spans="2:11" x14ac:dyDescent="0.2">
      <c r="B8" s="38">
        <f t="shared" ref="B8:B31" si="2">B7+1</f>
        <v>2019</v>
      </c>
      <c r="C8" s="39">
        <f t="shared" ref="C8:C31" si="3">C7*(1+D7)</f>
        <v>128.65461037437063</v>
      </c>
      <c r="D8" s="40">
        <f t="shared" si="0"/>
        <v>-6.3696552201496337E-2</v>
      </c>
      <c r="E8" s="39">
        <f t="shared" ref="E8:E23" si="4">E7*(1+F7)</f>
        <v>126.68768977656659</v>
      </c>
      <c r="F8" s="40">
        <f t="shared" si="1"/>
        <v>-7.4486982049495234E-2</v>
      </c>
      <c r="G8" s="80"/>
      <c r="H8" s="39">
        <f t="shared" ref="H8:H31" si="5">H7*(1+I7)</f>
        <v>100.444806</v>
      </c>
      <c r="I8" s="41">
        <v>0.01</v>
      </c>
      <c r="J8" s="39">
        <f t="shared" ref="J8:J31" si="6">J7*(1+K7)</f>
        <v>100.444806</v>
      </c>
      <c r="K8" s="41">
        <v>0.01</v>
      </c>
    </row>
    <row r="9" spans="2:11" x14ac:dyDescent="0.2">
      <c r="B9" s="38">
        <f t="shared" si="2"/>
        <v>2020</v>
      </c>
      <c r="C9" s="39">
        <f t="shared" si="3"/>
        <v>120.45975526869637</v>
      </c>
      <c r="D9" s="40">
        <f t="shared" si="0"/>
        <v>-5.1148331417801562E-2</v>
      </c>
      <c r="E9" s="39">
        <f t="shared" si="4"/>
        <v>117.25110610228745</v>
      </c>
      <c r="F9" s="40">
        <f t="shared" si="1"/>
        <v>-6.3015986813872965E-2</v>
      </c>
      <c r="G9" s="80"/>
      <c r="H9" s="39">
        <f t="shared" si="5"/>
        <v>101.44925406</v>
      </c>
      <c r="I9" s="41">
        <v>6.0000000000000001E-3</v>
      </c>
      <c r="J9" s="39">
        <f t="shared" si="6"/>
        <v>101.44925406</v>
      </c>
      <c r="K9" s="41">
        <v>6.0000000000000001E-3</v>
      </c>
    </row>
    <row r="10" spans="2:11" x14ac:dyDescent="0.2">
      <c r="B10" s="38">
        <f t="shared" si="2"/>
        <v>2021</v>
      </c>
      <c r="C10" s="39">
        <f t="shared" si="3"/>
        <v>114.29843978370582</v>
      </c>
      <c r="D10" s="40">
        <f t="shared" si="0"/>
        <v>-4.1072110128494654E-2</v>
      </c>
      <c r="E10" s="39">
        <f t="shared" si="4"/>
        <v>109.86241194623368</v>
      </c>
      <c r="F10" s="40">
        <f t="shared" si="1"/>
        <v>-5.331152484453653E-2</v>
      </c>
      <c r="G10" s="80"/>
      <c r="H10" s="39">
        <f t="shared" si="5"/>
        <v>102.05794958436</v>
      </c>
      <c r="I10" s="41">
        <v>6.0000000000000001E-3</v>
      </c>
      <c r="J10" s="39">
        <f t="shared" si="6"/>
        <v>102.05794958436</v>
      </c>
      <c r="K10" s="41">
        <v>6.0000000000000001E-3</v>
      </c>
    </row>
    <row r="11" spans="2:11" x14ac:dyDescent="0.2">
      <c r="B11" s="38">
        <f t="shared" si="2"/>
        <v>2022</v>
      </c>
      <c r="C11" s="42">
        <f t="shared" si="3"/>
        <v>109.60396167739434</v>
      </c>
      <c r="D11" s="40">
        <f t="shared" si="0"/>
        <v>-3.2980904433181212E-2</v>
      </c>
      <c r="E11" s="42">
        <f t="shared" si="4"/>
        <v>104.00547924228134</v>
      </c>
      <c r="F11" s="40">
        <f t="shared" si="1"/>
        <v>-4.5101550018477904E-2</v>
      </c>
      <c r="G11" s="80"/>
      <c r="H11" s="42">
        <f t="shared" si="5"/>
        <v>102.67029728186617</v>
      </c>
      <c r="I11" s="41">
        <v>6.0000000000000001E-3</v>
      </c>
      <c r="J11" s="42">
        <f t="shared" si="6"/>
        <v>102.67029728186617</v>
      </c>
      <c r="K11" s="41">
        <v>6.0000000000000001E-3</v>
      </c>
    </row>
    <row r="12" spans="2:11" x14ac:dyDescent="0.2">
      <c r="B12" s="38">
        <f t="shared" si="2"/>
        <v>2023</v>
      </c>
      <c r="C12" s="42">
        <f t="shared" si="3"/>
        <v>105.98912389181413</v>
      </c>
      <c r="D12" s="40">
        <f t="shared" si="0"/>
        <v>-2.6483666259844513E-2</v>
      </c>
      <c r="E12" s="42">
        <f t="shared" si="4"/>
        <v>99.314670918039823</v>
      </c>
      <c r="F12" s="40">
        <f t="shared" si="1"/>
        <v>-3.8155911315632306E-2</v>
      </c>
      <c r="G12" s="80"/>
      <c r="H12" s="42">
        <f t="shared" si="5"/>
        <v>103.28631906555736</v>
      </c>
      <c r="I12" s="41">
        <v>6.0000000000000001E-3</v>
      </c>
      <c r="J12" s="42">
        <f t="shared" si="6"/>
        <v>103.28631906555736</v>
      </c>
      <c r="K12" s="41">
        <v>6.0000000000000001E-3</v>
      </c>
    </row>
    <row r="13" spans="2:11" x14ac:dyDescent="0.2">
      <c r="B13" s="38">
        <f t="shared" si="2"/>
        <v>2024</v>
      </c>
      <c r="C13" s="42">
        <f t="shared" si="3"/>
        <v>103.18214330749001</v>
      </c>
      <c r="D13" s="40">
        <f t="shared" si="0"/>
        <v>-2.1266384006655144E-2</v>
      </c>
      <c r="E13" s="42">
        <f t="shared" si="4"/>
        <v>95.525229142149882</v>
      </c>
      <c r="F13" s="40">
        <f t="shared" si="1"/>
        <v>-3.2279900973024932E-2</v>
      </c>
      <c r="G13" s="80"/>
      <c r="H13" s="42">
        <f t="shared" si="5"/>
        <v>103.90603697995071</v>
      </c>
      <c r="I13" s="41">
        <v>6.0000000000000001E-3</v>
      </c>
      <c r="J13" s="42">
        <f t="shared" si="6"/>
        <v>103.90603697995071</v>
      </c>
      <c r="K13" s="41">
        <v>6.0000000000000001E-3</v>
      </c>
    </row>
    <row r="14" spans="2:11" x14ac:dyDescent="0.2">
      <c r="B14" s="38">
        <f t="shared" si="2"/>
        <v>2025</v>
      </c>
      <c r="C14" s="42">
        <f t="shared" si="3"/>
        <v>100.9878322252832</v>
      </c>
      <c r="D14" s="40">
        <f t="shared" si="0"/>
        <v>-1.7076906357344081E-2</v>
      </c>
      <c r="E14" s="42">
        <f t="shared" si="4"/>
        <v>92.441684205015775</v>
      </c>
      <c r="F14" s="40">
        <f t="shared" si="1"/>
        <v>-2.7308796223179093E-2</v>
      </c>
      <c r="G14" s="80"/>
      <c r="H14" s="42">
        <f t="shared" si="5"/>
        <v>104.52947320183041</v>
      </c>
      <c r="I14" s="41">
        <f t="shared" ref="I14:I31" si="7">I$5</f>
        <v>0</v>
      </c>
      <c r="J14" s="42">
        <f t="shared" si="6"/>
        <v>104.52947320183041</v>
      </c>
      <c r="K14" s="41">
        <f t="shared" ref="K14:K31" si="8">K$5</f>
        <v>0.01</v>
      </c>
    </row>
    <row r="15" spans="2:11" x14ac:dyDescent="0.2">
      <c r="B15" s="38">
        <f t="shared" si="2"/>
        <v>2026</v>
      </c>
      <c r="C15" s="42">
        <f t="shared" si="3"/>
        <v>99.263272471140866</v>
      </c>
      <c r="D15" s="40">
        <f t="shared" si="0"/>
        <v>-1.3712755804947298E-2</v>
      </c>
      <c r="E15" s="42">
        <f t="shared" si="4"/>
        <v>89.917213088533529</v>
      </c>
      <c r="F15" s="40">
        <f t="shared" si="1"/>
        <v>-2.3103241604809512E-2</v>
      </c>
      <c r="G15" s="80"/>
      <c r="H15" s="42">
        <f t="shared" si="5"/>
        <v>104.52947320183041</v>
      </c>
      <c r="I15" s="41">
        <f t="shared" si="7"/>
        <v>0</v>
      </c>
      <c r="J15" s="42">
        <f t="shared" si="6"/>
        <v>105.57476793384872</v>
      </c>
      <c r="K15" s="41">
        <f t="shared" si="8"/>
        <v>0.01</v>
      </c>
    </row>
    <row r="16" spans="2:11" x14ac:dyDescent="0.2">
      <c r="B16" s="38">
        <f t="shared" si="2"/>
        <v>2027</v>
      </c>
      <c r="C16" s="42">
        <f t="shared" si="3"/>
        <v>97.902099455344157</v>
      </c>
      <c r="D16" s="40">
        <f t="shared" si="0"/>
        <v>-1.1011342911372681E-2</v>
      </c>
      <c r="E16" s="42">
        <f t="shared" si="4"/>
        <v>87.839833990117995</v>
      </c>
      <c r="F16" s="40">
        <f t="shared" si="1"/>
        <v>-1.9545342397668846E-2</v>
      </c>
      <c r="G16" s="80"/>
      <c r="H16" s="42">
        <f t="shared" si="5"/>
        <v>104.52947320183041</v>
      </c>
      <c r="I16" s="41">
        <f t="shared" si="7"/>
        <v>0</v>
      </c>
      <c r="J16" s="42">
        <f t="shared" si="6"/>
        <v>106.63051561318721</v>
      </c>
      <c r="K16" s="41">
        <f t="shared" si="8"/>
        <v>0.01</v>
      </c>
    </row>
    <row r="17" spans="2:11" x14ac:dyDescent="0.2">
      <c r="B17" s="38">
        <f t="shared" si="2"/>
        <v>2028</v>
      </c>
      <c r="C17" s="42">
        <f t="shared" si="3"/>
        <v>96.824065866498046</v>
      </c>
      <c r="D17" s="40">
        <f t="shared" si="0"/>
        <v>-8.8421083578322634E-3</v>
      </c>
      <c r="E17" s="42">
        <f t="shared" si="4"/>
        <v>86.122974358626749</v>
      </c>
      <c r="F17" s="40">
        <f t="shared" si="1"/>
        <v>-1.6535359668427844E-2</v>
      </c>
      <c r="G17" s="80"/>
      <c r="H17" s="42">
        <f t="shared" si="5"/>
        <v>104.52947320183041</v>
      </c>
      <c r="I17" s="41">
        <f t="shared" si="7"/>
        <v>0</v>
      </c>
      <c r="J17" s="42">
        <f t="shared" si="6"/>
        <v>107.69682076931909</v>
      </c>
      <c r="K17" s="41">
        <f t="shared" si="8"/>
        <v>0.01</v>
      </c>
    </row>
    <row r="18" spans="2:11" x14ac:dyDescent="0.2">
      <c r="B18" s="38">
        <f t="shared" si="2"/>
        <v>2029</v>
      </c>
      <c r="C18" s="42">
        <f t="shared" si="3"/>
        <v>95.967936984460579</v>
      </c>
      <c r="D18" s="40">
        <f t="shared" si="0"/>
        <v>-7.1002130113393081E-3</v>
      </c>
      <c r="E18" s="42">
        <f t="shared" si="4"/>
        <v>84.698900001892056</v>
      </c>
      <c r="F18" s="40">
        <f t="shared" si="1"/>
        <v>-1.3988914279489955E-2</v>
      </c>
      <c r="G18" s="80"/>
      <c r="H18" s="42">
        <f t="shared" si="5"/>
        <v>104.52947320183041</v>
      </c>
      <c r="I18" s="41">
        <f t="shared" si="7"/>
        <v>0</v>
      </c>
      <c r="J18" s="42">
        <f t="shared" si="6"/>
        <v>108.77378897701229</v>
      </c>
      <c r="K18" s="41">
        <f t="shared" si="8"/>
        <v>0.01</v>
      </c>
    </row>
    <row r="19" spans="2:11" x14ac:dyDescent="0.2">
      <c r="B19" s="38">
        <f t="shared" si="2"/>
        <v>2030</v>
      </c>
      <c r="C19" s="42">
        <f t="shared" si="3"/>
        <v>95.286544189612115</v>
      </c>
      <c r="D19" s="40">
        <f t="shared" si="0"/>
        <v>-5.7014710481054645E-3</v>
      </c>
      <c r="E19" s="42">
        <f t="shared" si="4"/>
        <v>83.514054350198492</v>
      </c>
      <c r="F19" s="40">
        <f t="shared" si="1"/>
        <v>-1.1834621480448502E-2</v>
      </c>
      <c r="G19" s="80"/>
      <c r="H19" s="42">
        <f t="shared" si="5"/>
        <v>104.52947320183041</v>
      </c>
      <c r="I19" s="41">
        <f t="shared" si="7"/>
        <v>0</v>
      </c>
      <c r="J19" s="42">
        <f t="shared" si="6"/>
        <v>109.86152686678241</v>
      </c>
      <c r="K19" s="41">
        <f t="shared" si="8"/>
        <v>0.01</v>
      </c>
    </row>
    <row r="20" spans="2:11" x14ac:dyDescent="0.2">
      <c r="B20" s="38">
        <f t="shared" si="2"/>
        <v>2031</v>
      </c>
      <c r="C20" s="39">
        <f t="shared" si="3"/>
        <v>94.743270716641021</v>
      </c>
      <c r="D20" s="40">
        <f t="shared" si="0"/>
        <v>-4.5782812516286884E-3</v>
      </c>
      <c r="E20" s="39">
        <f t="shared" si="4"/>
        <v>82.525697128666295</v>
      </c>
      <c r="F20" s="40">
        <f t="shared" si="1"/>
        <v>-1.0012089772459433E-2</v>
      </c>
      <c r="G20" s="80"/>
      <c r="H20" s="39">
        <f t="shared" si="5"/>
        <v>104.52947320183041</v>
      </c>
      <c r="I20" s="41">
        <f t="shared" si="7"/>
        <v>0</v>
      </c>
      <c r="J20" s="39">
        <f t="shared" si="6"/>
        <v>110.96014213545024</v>
      </c>
      <c r="K20" s="41">
        <f t="shared" si="8"/>
        <v>0.01</v>
      </c>
    </row>
    <row r="21" spans="2:11" x14ac:dyDescent="0.2">
      <c r="B21" s="38">
        <f t="shared" si="2"/>
        <v>2032</v>
      </c>
      <c r="C21" s="39">
        <f t="shared" si="3"/>
        <v>94.309509376601042</v>
      </c>
      <c r="D21" s="40">
        <f t="shared" si="0"/>
        <v>-3.6763598450578368E-3</v>
      </c>
      <c r="E21" s="39">
        <f t="shared" si="4"/>
        <v>81.699442440479288</v>
      </c>
      <c r="F21" s="40">
        <f t="shared" si="1"/>
        <v>-8.4702279475006807E-3</v>
      </c>
      <c r="G21" s="80"/>
      <c r="H21" s="39">
        <f t="shared" si="5"/>
        <v>104.52947320183041</v>
      </c>
      <c r="I21" s="41">
        <f t="shared" si="7"/>
        <v>0</v>
      </c>
      <c r="J21" s="39">
        <f t="shared" si="6"/>
        <v>112.06974355680474</v>
      </c>
      <c r="K21" s="41">
        <f t="shared" si="8"/>
        <v>0.01</v>
      </c>
    </row>
    <row r="22" spans="2:11" x14ac:dyDescent="0.2">
      <c r="B22" s="38">
        <f t="shared" si="2"/>
        <v>2033</v>
      </c>
      <c r="C22" s="39">
        <f t="shared" si="3"/>
        <v>93.962793683321792</v>
      </c>
      <c r="D22" s="40">
        <f t="shared" si="0"/>
        <v>-2.9521169555814433E-3</v>
      </c>
      <c r="E22" s="39">
        <f t="shared" si="4"/>
        <v>81.007429539824727</v>
      </c>
      <c r="F22" s="40">
        <f t="shared" si="1"/>
        <v>-7.1658128435855752E-3</v>
      </c>
      <c r="G22" s="80"/>
      <c r="H22" s="39">
        <f t="shared" si="5"/>
        <v>104.52947320183041</v>
      </c>
      <c r="I22" s="41">
        <f t="shared" si="7"/>
        <v>0</v>
      </c>
      <c r="J22" s="39">
        <f t="shared" si="6"/>
        <v>113.19044099237279</v>
      </c>
      <c r="K22" s="41">
        <f t="shared" si="8"/>
        <v>0.01</v>
      </c>
    </row>
    <row r="23" spans="2:11" x14ac:dyDescent="0.2">
      <c r="B23" s="38">
        <f t="shared" si="2"/>
        <v>2034</v>
      </c>
      <c r="C23" s="39">
        <f t="shared" si="3"/>
        <v>93.685404526895468</v>
      </c>
      <c r="D23" s="40">
        <f t="shared" si="0"/>
        <v>-2.3705499153318993E-3</v>
      </c>
      <c r="E23" s="39">
        <f t="shared" si="4"/>
        <v>80.426945460802401</v>
      </c>
      <c r="F23" s="40">
        <f t="shared" si="1"/>
        <v>-6.0622776656733962E-3</v>
      </c>
      <c r="G23" s="80"/>
      <c r="H23" s="39">
        <f t="shared" si="5"/>
        <v>104.52947320183041</v>
      </c>
      <c r="I23" s="41">
        <f t="shared" si="7"/>
        <v>0</v>
      </c>
      <c r="J23" s="39">
        <f t="shared" si="6"/>
        <v>114.32234540229652</v>
      </c>
      <c r="K23" s="41">
        <f t="shared" si="8"/>
        <v>0.01</v>
      </c>
    </row>
    <row r="24" spans="2:11" x14ac:dyDescent="0.2">
      <c r="B24" s="38">
        <f t="shared" si="2"/>
        <v>2035</v>
      </c>
      <c r="C24" s="39">
        <f t="shared" si="3"/>
        <v>93.463318599126396</v>
      </c>
      <c r="D24" s="40">
        <f t="shared" si="0"/>
        <v>-1.9035515820115152E-3</v>
      </c>
      <c r="E24" s="39">
        <f t="shared" ref="E24:E31" si="9">E23*(1+F23)</f>
        <v>79.93937498561705</v>
      </c>
      <c r="F24" s="40">
        <f t="shared" si="1"/>
        <v>-5.1286869051596932E-3</v>
      </c>
      <c r="G24" s="80"/>
      <c r="H24" s="39">
        <f t="shared" si="5"/>
        <v>104.52947320183041</v>
      </c>
      <c r="I24" s="41">
        <f t="shared" si="7"/>
        <v>0</v>
      </c>
      <c r="J24" s="39">
        <f t="shared" si="6"/>
        <v>115.46556885631949</v>
      </c>
      <c r="K24" s="41">
        <f t="shared" si="8"/>
        <v>0.01</v>
      </c>
    </row>
    <row r="25" spans="2:11" x14ac:dyDescent="0.2">
      <c r="B25" s="38">
        <f t="shared" si="2"/>
        <v>2036</v>
      </c>
      <c r="C25" s="39">
        <f t="shared" si="3"/>
        <v>93.285406351146989</v>
      </c>
      <c r="D25" s="40">
        <f t="shared" si="0"/>
        <v>-1.5285519203552468E-3</v>
      </c>
      <c r="E25" s="39">
        <f t="shared" si="9"/>
        <v>79.52939095992167</v>
      </c>
      <c r="F25" s="40">
        <f t="shared" si="1"/>
        <v>-4.3388691217651001E-3</v>
      </c>
      <c r="G25" s="80"/>
      <c r="H25" s="39">
        <f t="shared" si="5"/>
        <v>104.52947320183041</v>
      </c>
      <c r="I25" s="41">
        <f t="shared" si="7"/>
        <v>0</v>
      </c>
      <c r="J25" s="39">
        <f t="shared" si="6"/>
        <v>116.62022454488269</v>
      </c>
      <c r="K25" s="41">
        <f t="shared" si="8"/>
        <v>0.01</v>
      </c>
    </row>
    <row r="26" spans="2:11" x14ac:dyDescent="0.2">
      <c r="B26" s="38">
        <f t="shared" si="2"/>
        <v>2037</v>
      </c>
      <c r="C26" s="39">
        <f t="shared" si="3"/>
        <v>93.14281476412782</v>
      </c>
      <c r="D26" s="40">
        <f t="shared" si="0"/>
        <v>-1.2274271920452633E-3</v>
      </c>
      <c r="E26" s="39">
        <f t="shared" si="9"/>
        <v>79.184323341212888</v>
      </c>
      <c r="F26" s="40">
        <f t="shared" si="1"/>
        <v>-3.6706832770132744E-3</v>
      </c>
      <c r="G26" s="80"/>
      <c r="H26" s="39">
        <f t="shared" si="5"/>
        <v>104.52947320183041</v>
      </c>
      <c r="I26" s="41">
        <f t="shared" si="7"/>
        <v>0</v>
      </c>
      <c r="J26" s="39">
        <f t="shared" si="6"/>
        <v>117.78642679033152</v>
      </c>
      <c r="K26" s="41">
        <f t="shared" si="8"/>
        <v>0.01</v>
      </c>
    </row>
    <row r="27" spans="2:11" x14ac:dyDescent="0.2">
      <c r="B27" s="38">
        <f t="shared" si="2"/>
        <v>2038</v>
      </c>
      <c r="C27" s="39">
        <f t="shared" si="3"/>
        <v>93.028488740542699</v>
      </c>
      <c r="D27" s="40">
        <f t="shared" si="0"/>
        <v>-9.8562403521234654E-4</v>
      </c>
      <c r="E27" s="39">
        <f t="shared" si="9"/>
        <v>78.893662769722681</v>
      </c>
      <c r="F27" s="40">
        <f t="shared" si="1"/>
        <v>-3.1053980523532299E-3</v>
      </c>
      <c r="G27" s="80"/>
      <c r="H27" s="39">
        <f t="shared" si="5"/>
        <v>104.52947320183041</v>
      </c>
      <c r="I27" s="41">
        <f t="shared" si="7"/>
        <v>0</v>
      </c>
      <c r="J27" s="39">
        <f t="shared" si="6"/>
        <v>118.96429105823483</v>
      </c>
      <c r="K27" s="41">
        <f t="shared" si="8"/>
        <v>0.01</v>
      </c>
    </row>
    <row r="28" spans="2:11" x14ac:dyDescent="0.2">
      <c r="B28" s="52">
        <f t="shared" si="2"/>
        <v>2039</v>
      </c>
      <c r="C28" s="42">
        <f t="shared" si="3"/>
        <v>92.936797626080548</v>
      </c>
      <c r="D28" s="53">
        <f t="shared" si="0"/>
        <v>-7.914561002755143E-4</v>
      </c>
      <c r="E28" s="42">
        <f t="shared" si="9"/>
        <v>78.648666543014571</v>
      </c>
      <c r="F28" s="53">
        <f t="shared" si="1"/>
        <v>-2.6271667522908323E-3</v>
      </c>
      <c r="G28" s="80"/>
      <c r="H28" s="42">
        <f t="shared" si="5"/>
        <v>104.52947320183041</v>
      </c>
      <c r="I28" s="54">
        <f t="shared" si="7"/>
        <v>0</v>
      </c>
      <c r="J28" s="42">
        <f t="shared" si="6"/>
        <v>120.15393396881719</v>
      </c>
      <c r="K28" s="54">
        <f t="shared" si="8"/>
        <v>0.01</v>
      </c>
    </row>
    <row r="29" spans="2:11" x14ac:dyDescent="0.2">
      <c r="B29" s="38">
        <f t="shared" si="2"/>
        <v>2040</v>
      </c>
      <c r="C29" s="108">
        <f t="shared" si="3"/>
        <v>92.86324223065931</v>
      </c>
      <c r="D29" s="40">
        <f t="shared" si="0"/>
        <v>-6.3553924852123805E-4</v>
      </c>
      <c r="E29" s="108">
        <f t="shared" si="9"/>
        <v>78.442043381160758</v>
      </c>
      <c r="F29" s="40">
        <f t="shared" si="1"/>
        <v>-2.222583072438044E-3</v>
      </c>
      <c r="G29" s="80"/>
      <c r="H29" s="39">
        <f t="shared" si="5"/>
        <v>104.52947320183041</v>
      </c>
      <c r="I29" s="41">
        <f t="shared" si="7"/>
        <v>0</v>
      </c>
      <c r="J29" s="39">
        <f t="shared" si="6"/>
        <v>121.35547330850535</v>
      </c>
      <c r="K29" s="41">
        <f t="shared" si="8"/>
        <v>0.01</v>
      </c>
    </row>
    <row r="30" spans="2:11" x14ac:dyDescent="0.2">
      <c r="B30" s="38">
        <f t="shared" si="2"/>
        <v>2041</v>
      </c>
      <c r="C30" s="39">
        <f t="shared" si="3"/>
        <v>92.804223995476789</v>
      </c>
      <c r="D30" s="40">
        <f t="shared" si="0"/>
        <v>-5.1033801656255422E-4</v>
      </c>
      <c r="E30" s="39">
        <f t="shared" si="9"/>
        <v>78.267699423374339</v>
      </c>
      <c r="F30" s="40">
        <f t="shared" si="1"/>
        <v>-1.8803052792825852E-3</v>
      </c>
      <c r="G30" s="80"/>
      <c r="H30" s="39">
        <f t="shared" si="5"/>
        <v>104.52947320183041</v>
      </c>
      <c r="I30" s="41">
        <f t="shared" si="7"/>
        <v>0</v>
      </c>
      <c r="J30" s="39">
        <f t="shared" si="6"/>
        <v>122.56902804159041</v>
      </c>
      <c r="K30" s="41">
        <f t="shared" si="8"/>
        <v>0.01</v>
      </c>
    </row>
    <row r="31" spans="2:11" ht="17" thickBot="1" x14ac:dyDescent="0.25">
      <c r="B31" s="43">
        <f t="shared" si="2"/>
        <v>2042</v>
      </c>
      <c r="C31" s="44">
        <f t="shared" si="3"/>
        <v>92.756862471874314</v>
      </c>
      <c r="D31" s="45">
        <f t="shared" si="0"/>
        <v>-4.0980142729973108E-4</v>
      </c>
      <c r="E31" s="44">
        <f t="shared" si="9"/>
        <v>78.120532254951257</v>
      </c>
      <c r="F31" s="45">
        <f t="shared" si="1"/>
        <v>-1.5907382662730671E-3</v>
      </c>
      <c r="G31" s="81"/>
      <c r="H31" s="44">
        <f t="shared" si="5"/>
        <v>104.52947320183041</v>
      </c>
      <c r="I31" s="46">
        <f t="shared" si="7"/>
        <v>0</v>
      </c>
      <c r="J31" s="44">
        <f t="shared" si="6"/>
        <v>123.79471832200632</v>
      </c>
      <c r="K31" s="46">
        <f t="shared" si="8"/>
        <v>0.01</v>
      </c>
    </row>
    <row r="32" spans="2:11" s="9" customFormat="1" x14ac:dyDescent="0.2">
      <c r="B32" s="20" t="s">
        <v>18</v>
      </c>
      <c r="D32" s="21">
        <v>0.80300000000000005</v>
      </c>
      <c r="F32" s="21">
        <v>0.84599999999999997</v>
      </c>
      <c r="G32" s="21"/>
      <c r="H32" s="22"/>
    </row>
    <row r="33" spans="2:8" s="9" customFormat="1" x14ac:dyDescent="0.2">
      <c r="B33" s="20" t="s">
        <v>79</v>
      </c>
      <c r="C33" s="114">
        <f>Costs!R19</f>
        <v>93.033707865168537</v>
      </c>
      <c r="D33" s="21"/>
      <c r="E33" s="115">
        <f>Costs!R20</f>
        <v>77.528089887640448</v>
      </c>
      <c r="F33" s="21"/>
      <c r="G33" s="21"/>
      <c r="H33" s="22"/>
    </row>
    <row r="34" spans="2:8" x14ac:dyDescent="0.2">
      <c r="B34" s="19"/>
      <c r="D34" s="6"/>
      <c r="F34" s="6"/>
    </row>
    <row r="35" spans="2:8" x14ac:dyDescent="0.2">
      <c r="B35" s="4" t="s">
        <v>1</v>
      </c>
      <c r="D35" s="6"/>
      <c r="F35" s="6"/>
    </row>
    <row r="36" spans="2:8" x14ac:dyDescent="0.2">
      <c r="B36" s="7" t="s">
        <v>7</v>
      </c>
      <c r="C36" s="5"/>
      <c r="D36" s="5"/>
      <c r="E36" s="5"/>
      <c r="F36" s="5"/>
    </row>
    <row r="37" spans="2:8" x14ac:dyDescent="0.2">
      <c r="B37" t="s">
        <v>11</v>
      </c>
    </row>
    <row r="38" spans="2:8" x14ac:dyDescent="0.2">
      <c r="B38" t="s">
        <v>20</v>
      </c>
    </row>
    <row r="39" spans="2:8" x14ac:dyDescent="0.2">
      <c r="B39" t="s">
        <v>85</v>
      </c>
    </row>
  </sheetData>
  <mergeCells count="4">
    <mergeCell ref="J3:K3"/>
    <mergeCell ref="C3:D3"/>
    <mergeCell ref="E3:F3"/>
    <mergeCell ref="H3:I3"/>
  </mergeCells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E33" sqref="E33"/>
    </sheetView>
  </sheetViews>
  <sheetFormatPr baseColWidth="10" defaultColWidth="11" defaultRowHeight="16" x14ac:dyDescent="0.2"/>
  <cols>
    <col min="1" max="1" width="2.83203125" customWidth="1"/>
    <col min="2" max="6" width="11.6640625" customWidth="1"/>
    <col min="7" max="7" width="2.83203125" customWidth="1"/>
    <col min="8" max="11" width="11.6640625" customWidth="1"/>
  </cols>
  <sheetData>
    <row r="1" spans="2:11" ht="21" x14ac:dyDescent="0.35">
      <c r="B1" s="18" t="s">
        <v>75</v>
      </c>
    </row>
    <row r="2" spans="2:11" ht="16.5" thickBot="1" x14ac:dyDescent="0.3"/>
    <row r="3" spans="2:11" ht="16.5" thickBot="1" x14ac:dyDescent="0.3">
      <c r="B3" s="50"/>
      <c r="C3" s="191" t="s">
        <v>68</v>
      </c>
      <c r="D3" s="192"/>
      <c r="E3" s="191" t="s">
        <v>67</v>
      </c>
      <c r="F3" s="192"/>
      <c r="G3" s="77"/>
      <c r="H3" s="191" t="s">
        <v>29</v>
      </c>
      <c r="I3" s="192"/>
      <c r="J3" s="191" t="s">
        <v>30</v>
      </c>
      <c r="K3" s="192"/>
    </row>
    <row r="4" spans="2:11" x14ac:dyDescent="0.2">
      <c r="B4" s="38"/>
      <c r="C4" s="47" t="s">
        <v>5</v>
      </c>
      <c r="D4" s="25" t="s">
        <v>10</v>
      </c>
      <c r="E4" s="47" t="s">
        <v>5</v>
      </c>
      <c r="F4" s="25" t="s">
        <v>10</v>
      </c>
      <c r="G4" s="78"/>
      <c r="H4" s="47" t="s">
        <v>5</v>
      </c>
      <c r="I4" s="76" t="s">
        <v>19</v>
      </c>
      <c r="J4" s="47" t="s">
        <v>5</v>
      </c>
      <c r="K4" s="76" t="s">
        <v>19</v>
      </c>
    </row>
    <row r="5" spans="2:11" ht="17" thickBot="1" x14ac:dyDescent="0.25">
      <c r="B5" s="51" t="s">
        <v>0</v>
      </c>
      <c r="C5" s="32" t="s">
        <v>6</v>
      </c>
      <c r="D5" s="49">
        <f>Costs!$E$31</f>
        <v>-0.1288497436648888</v>
      </c>
      <c r="E5" s="32" t="s">
        <v>6</v>
      </c>
      <c r="F5" s="49">
        <f>Costs!$E$31</f>
        <v>-0.1288497436648888</v>
      </c>
      <c r="G5" s="79"/>
      <c r="H5" s="32" t="s">
        <v>6</v>
      </c>
      <c r="I5" s="48">
        <v>0</v>
      </c>
      <c r="J5" s="32" t="s">
        <v>6</v>
      </c>
      <c r="K5" s="48">
        <v>0.01</v>
      </c>
    </row>
    <row r="6" spans="2:11" s="13" customFormat="1" x14ac:dyDescent="0.2">
      <c r="B6" s="35">
        <v>2017</v>
      </c>
      <c r="C6" s="36">
        <f>Costs!S10</f>
        <v>139.80898876404493</v>
      </c>
      <c r="D6" s="40">
        <f t="shared" ref="D6:D31" si="0">D5*D$32</f>
        <v>-0.1024355462135866</v>
      </c>
      <c r="E6" s="36">
        <f>Costs!S10</f>
        <v>139.80898876404493</v>
      </c>
      <c r="F6" s="40">
        <f t="shared" ref="F6:F31" si="1">F5*F$32</f>
        <v>-0.10823378467850658</v>
      </c>
      <c r="G6" s="80"/>
      <c r="H6" s="36">
        <f>55*1.05*1.05</f>
        <v>60.637500000000003</v>
      </c>
      <c r="I6" s="37">
        <v>0.02</v>
      </c>
      <c r="J6" s="36">
        <f>H6</f>
        <v>60.637500000000003</v>
      </c>
      <c r="K6" s="37">
        <v>0.02</v>
      </c>
    </row>
    <row r="7" spans="2:11" x14ac:dyDescent="0.2">
      <c r="B7" s="38">
        <f>B6+1</f>
        <v>2018</v>
      </c>
      <c r="C7" s="39">
        <f>C6*(1+D6)</f>
        <v>125.48757863443079</v>
      </c>
      <c r="D7" s="40">
        <f t="shared" si="0"/>
        <v>-8.1436259239801342E-2</v>
      </c>
      <c r="E7" s="39">
        <f>E6*(1+F6)</f>
        <v>124.67693277803754</v>
      </c>
      <c r="F7" s="40">
        <f t="shared" si="1"/>
        <v>-9.0916379129945532E-2</v>
      </c>
      <c r="G7" s="80"/>
      <c r="H7" s="39">
        <f>H6*(1+I6)</f>
        <v>61.850250000000003</v>
      </c>
      <c r="I7" s="41">
        <v>1.4999999999999999E-2</v>
      </c>
      <c r="J7" s="39">
        <f>J6*(1+K6)</f>
        <v>61.850250000000003</v>
      </c>
      <c r="K7" s="41">
        <v>1.4999999999999999E-2</v>
      </c>
    </row>
    <row r="8" spans="2:11" x14ac:dyDescent="0.2">
      <c r="B8" s="38">
        <f t="shared" ref="B8:B31" si="2">B7+1</f>
        <v>2019</v>
      </c>
      <c r="C8" s="39">
        <f t="shared" ref="C8:C31" si="3">C7*(1+D7)</f>
        <v>115.26833964938233</v>
      </c>
      <c r="D8" s="40">
        <f t="shared" si="0"/>
        <v>-6.4741826095642066E-2</v>
      </c>
      <c r="E8" s="39">
        <f t="shared" ref="E8:E23" si="4">E7*(1+F7)</f>
        <v>113.34175748883074</v>
      </c>
      <c r="F8" s="40">
        <f t="shared" si="1"/>
        <v>-7.6369758469154239E-2</v>
      </c>
      <c r="G8" s="80"/>
      <c r="H8" s="39">
        <f t="shared" ref="H8:H31" si="5">H7*(1+I7)</f>
        <v>62.778003749999996</v>
      </c>
      <c r="I8" s="41">
        <v>0.01</v>
      </c>
      <c r="J8" s="39">
        <f t="shared" ref="J8:J31" si="6">J7*(1+K7)</f>
        <v>62.778003749999996</v>
      </c>
      <c r="K8" s="41">
        <v>0.01</v>
      </c>
    </row>
    <row r="9" spans="2:11" x14ac:dyDescent="0.2">
      <c r="B9" s="38">
        <f t="shared" si="2"/>
        <v>2020</v>
      </c>
      <c r="C9" s="39">
        <f t="shared" si="3"/>
        <v>107.80565684946862</v>
      </c>
      <c r="D9" s="40">
        <f t="shared" si="0"/>
        <v>-5.1469751746035443E-2</v>
      </c>
      <c r="E9" s="39">
        <f t="shared" si="4"/>
        <v>104.68587484493928</v>
      </c>
      <c r="F9" s="40">
        <f t="shared" si="1"/>
        <v>-6.4150597114089561E-2</v>
      </c>
      <c r="G9" s="80"/>
      <c r="H9" s="39">
        <f t="shared" si="5"/>
        <v>63.405783787499999</v>
      </c>
      <c r="I9" s="41">
        <v>6.0000000000000001E-3</v>
      </c>
      <c r="J9" s="39">
        <f t="shared" si="6"/>
        <v>63.405783787499999</v>
      </c>
      <c r="K9" s="41">
        <v>6.0000000000000001E-3</v>
      </c>
    </row>
    <row r="10" spans="2:11" x14ac:dyDescent="0.2">
      <c r="B10" s="38">
        <f t="shared" si="2"/>
        <v>2021</v>
      </c>
      <c r="C10" s="39">
        <f t="shared" si="3"/>
        <v>102.25692645460819</v>
      </c>
      <c r="D10" s="40">
        <f t="shared" si="0"/>
        <v>-4.0918452638098179E-2</v>
      </c>
      <c r="E10" s="39">
        <f t="shared" si="4"/>
        <v>97.97021346422558</v>
      </c>
      <c r="F10" s="40">
        <f t="shared" si="1"/>
        <v>-5.388650157583523E-2</v>
      </c>
      <c r="G10" s="80"/>
      <c r="H10" s="39">
        <f t="shared" si="5"/>
        <v>63.786218490224996</v>
      </c>
      <c r="I10" s="41">
        <v>6.0000000000000001E-3</v>
      </c>
      <c r="J10" s="39">
        <f t="shared" si="6"/>
        <v>63.786218490224996</v>
      </c>
      <c r="K10" s="41">
        <v>6.0000000000000001E-3</v>
      </c>
    </row>
    <row r="11" spans="2:11" x14ac:dyDescent="0.2">
      <c r="B11" s="38">
        <f t="shared" si="2"/>
        <v>2022</v>
      </c>
      <c r="C11" s="42">
        <f t="shared" si="3"/>
        <v>98.072731252557816</v>
      </c>
      <c r="D11" s="40">
        <f t="shared" si="0"/>
        <v>-3.2530169847288057E-2</v>
      </c>
      <c r="E11" s="42">
        <f t="shared" si="4"/>
        <v>92.690941402000675</v>
      </c>
      <c r="F11" s="40">
        <f t="shared" si="1"/>
        <v>-4.5264661323701591E-2</v>
      </c>
      <c r="G11" s="80"/>
      <c r="H11" s="42">
        <f t="shared" si="5"/>
        <v>64.168935801166342</v>
      </c>
      <c r="I11" s="41">
        <v>6.0000000000000001E-3</v>
      </c>
      <c r="J11" s="42">
        <f t="shared" si="6"/>
        <v>64.168935801166342</v>
      </c>
      <c r="K11" s="41">
        <v>6.0000000000000001E-3</v>
      </c>
    </row>
    <row r="12" spans="2:11" x14ac:dyDescent="0.2">
      <c r="B12" s="38">
        <f t="shared" si="2"/>
        <v>2023</v>
      </c>
      <c r="C12" s="42">
        <f t="shared" si="3"/>
        <v>94.88240864752467</v>
      </c>
      <c r="D12" s="40">
        <f t="shared" si="0"/>
        <v>-2.5861485028594006E-2</v>
      </c>
      <c r="E12" s="42">
        <f t="shared" si="4"/>
        <v>88.495317331664054</v>
      </c>
      <c r="F12" s="40">
        <f t="shared" si="1"/>
        <v>-3.8022315511909335E-2</v>
      </c>
      <c r="G12" s="80"/>
      <c r="H12" s="42">
        <f t="shared" si="5"/>
        <v>64.553949415973335</v>
      </c>
      <c r="I12" s="41">
        <v>6.0000000000000001E-3</v>
      </c>
      <c r="J12" s="42">
        <f t="shared" si="6"/>
        <v>64.553949415973335</v>
      </c>
      <c r="K12" s="41">
        <v>6.0000000000000001E-3</v>
      </c>
    </row>
    <row r="13" spans="2:11" x14ac:dyDescent="0.2">
      <c r="B13" s="38">
        <f t="shared" si="2"/>
        <v>2024</v>
      </c>
      <c r="C13" s="42">
        <f t="shared" si="3"/>
        <v>92.428608656809772</v>
      </c>
      <c r="D13" s="40">
        <f t="shared" si="0"/>
        <v>-2.0559880597732234E-2</v>
      </c>
      <c r="E13" s="42">
        <f t="shared" si="4"/>
        <v>85.130520454752983</v>
      </c>
      <c r="F13" s="40">
        <f t="shared" si="1"/>
        <v>-3.1938745030003837E-2</v>
      </c>
      <c r="G13" s="80"/>
      <c r="H13" s="42">
        <f t="shared" si="5"/>
        <v>64.941273112469176</v>
      </c>
      <c r="I13" s="41">
        <v>6.0000000000000001E-3</v>
      </c>
      <c r="J13" s="42">
        <f t="shared" si="6"/>
        <v>64.941273112469176</v>
      </c>
      <c r="K13" s="41">
        <v>6.0000000000000001E-3</v>
      </c>
    </row>
    <row r="14" spans="2:11" x14ac:dyDescent="0.2">
      <c r="B14" s="38">
        <f t="shared" si="2"/>
        <v>2025</v>
      </c>
      <c r="C14" s="42">
        <f t="shared" si="3"/>
        <v>90.528287499011242</v>
      </c>
      <c r="D14" s="40">
        <f t="shared" si="0"/>
        <v>-1.6345105075197128E-2</v>
      </c>
      <c r="E14" s="42">
        <f t="shared" si="4"/>
        <v>82.411558467677096</v>
      </c>
      <c r="F14" s="40">
        <f t="shared" si="1"/>
        <v>-2.6828545825203224E-2</v>
      </c>
      <c r="G14" s="80"/>
      <c r="H14" s="42">
        <f t="shared" si="5"/>
        <v>65.330920751143992</v>
      </c>
      <c r="I14" s="41">
        <f t="shared" ref="I14:I31" si="7">I$5</f>
        <v>0</v>
      </c>
      <c r="J14" s="42">
        <f t="shared" si="6"/>
        <v>65.330920751143992</v>
      </c>
      <c r="K14" s="41">
        <f t="shared" ref="K14:K31" si="8">K$5</f>
        <v>0.01</v>
      </c>
    </row>
    <row r="15" spans="2:11" x14ac:dyDescent="0.2">
      <c r="B15" s="38">
        <f t="shared" si="2"/>
        <v>2026</v>
      </c>
      <c r="C15" s="42">
        <f t="shared" si="3"/>
        <v>89.048593127562242</v>
      </c>
      <c r="D15" s="40">
        <f t="shared" si="0"/>
        <v>-1.2994358534781718E-2</v>
      </c>
      <c r="E15" s="42">
        <f t="shared" si="4"/>
        <v>80.200576194800604</v>
      </c>
      <c r="F15" s="40">
        <f t="shared" si="1"/>
        <v>-2.2535978493170707E-2</v>
      </c>
      <c r="G15" s="80"/>
      <c r="H15" s="42">
        <f t="shared" si="5"/>
        <v>65.330920751143992</v>
      </c>
      <c r="I15" s="41">
        <f t="shared" si="7"/>
        <v>0</v>
      </c>
      <c r="J15" s="42">
        <f t="shared" si="6"/>
        <v>65.984229958655433</v>
      </c>
      <c r="K15" s="41">
        <f t="shared" si="8"/>
        <v>0.01</v>
      </c>
    </row>
    <row r="16" spans="2:11" x14ac:dyDescent="0.2">
      <c r="B16" s="38">
        <f t="shared" si="2"/>
        <v>2027</v>
      </c>
      <c r="C16" s="42">
        <f t="shared" si="3"/>
        <v>87.891463781444799</v>
      </c>
      <c r="D16" s="40">
        <f t="shared" si="0"/>
        <v>-1.0330515035151467E-2</v>
      </c>
      <c r="E16" s="42">
        <f t="shared" si="4"/>
        <v>78.393177734534675</v>
      </c>
      <c r="F16" s="40">
        <f t="shared" si="1"/>
        <v>-1.8930221934263393E-2</v>
      </c>
      <c r="G16" s="80"/>
      <c r="H16" s="42">
        <f t="shared" si="5"/>
        <v>65.330920751143992</v>
      </c>
      <c r="I16" s="41">
        <f t="shared" si="7"/>
        <v>0</v>
      </c>
      <c r="J16" s="42">
        <f t="shared" si="6"/>
        <v>66.644072258241991</v>
      </c>
      <c r="K16" s="41">
        <f t="shared" si="8"/>
        <v>0.01</v>
      </c>
    </row>
    <row r="17" spans="2:11" x14ac:dyDescent="0.2">
      <c r="B17" s="38">
        <f t="shared" si="2"/>
        <v>2028</v>
      </c>
      <c r="C17" s="42">
        <f t="shared" si="3"/>
        <v>86.983499693389106</v>
      </c>
      <c r="D17" s="40">
        <f t="shared" si="0"/>
        <v>-8.2127594529454173E-3</v>
      </c>
      <c r="E17" s="42">
        <f t="shared" si="4"/>
        <v>76.909177481887781</v>
      </c>
      <c r="F17" s="40">
        <f t="shared" si="1"/>
        <v>-1.5901386424781248E-2</v>
      </c>
      <c r="G17" s="80"/>
      <c r="H17" s="42">
        <f t="shared" si="5"/>
        <v>65.330920751143992</v>
      </c>
      <c r="I17" s="41">
        <f t="shared" si="7"/>
        <v>0</v>
      </c>
      <c r="J17" s="42">
        <f t="shared" si="6"/>
        <v>67.310512980824413</v>
      </c>
      <c r="K17" s="41">
        <f t="shared" si="8"/>
        <v>0.01</v>
      </c>
    </row>
    <row r="18" spans="2:11" x14ac:dyDescent="0.2">
      <c r="B18" s="38">
        <f t="shared" si="2"/>
        <v>2029</v>
      </c>
      <c r="C18" s="42">
        <f t="shared" si="3"/>
        <v>86.269125134031952</v>
      </c>
      <c r="D18" s="40">
        <f t="shared" si="0"/>
        <v>-6.5291437650916067E-3</v>
      </c>
      <c r="E18" s="42">
        <f t="shared" si="4"/>
        <v>75.686214931136206</v>
      </c>
      <c r="F18" s="40">
        <f t="shared" si="1"/>
        <v>-1.3357164596816249E-2</v>
      </c>
      <c r="G18" s="80"/>
      <c r="H18" s="42">
        <f t="shared" si="5"/>
        <v>65.330920751143992</v>
      </c>
      <c r="I18" s="41">
        <f t="shared" si="7"/>
        <v>0</v>
      </c>
      <c r="J18" s="42">
        <f t="shared" si="6"/>
        <v>67.983618110632662</v>
      </c>
      <c r="K18" s="41">
        <f t="shared" si="8"/>
        <v>0.01</v>
      </c>
    </row>
    <row r="19" spans="2:11" x14ac:dyDescent="0.2">
      <c r="B19" s="38">
        <f t="shared" si="2"/>
        <v>2030</v>
      </c>
      <c r="C19" s="42">
        <f t="shared" si="3"/>
        <v>85.705861613543178</v>
      </c>
      <c r="D19" s="40">
        <f t="shared" si="0"/>
        <v>-5.1906692932478272E-3</v>
      </c>
      <c r="E19" s="42">
        <f t="shared" si="4"/>
        <v>74.675261700591008</v>
      </c>
      <c r="F19" s="40">
        <f t="shared" si="1"/>
        <v>-1.1220018261325649E-2</v>
      </c>
      <c r="G19" s="80"/>
      <c r="H19" s="42">
        <f t="shared" si="5"/>
        <v>65.330920751143992</v>
      </c>
      <c r="I19" s="41">
        <f t="shared" si="7"/>
        <v>0</v>
      </c>
      <c r="J19" s="42">
        <f t="shared" si="6"/>
        <v>68.663454291738987</v>
      </c>
      <c r="K19" s="41">
        <f t="shared" si="8"/>
        <v>0.01</v>
      </c>
    </row>
    <row r="20" spans="2:11" x14ac:dyDescent="0.2">
      <c r="B20" s="38">
        <f t="shared" si="2"/>
        <v>2031</v>
      </c>
      <c r="C20" s="39">
        <f t="shared" si="3"/>
        <v>85.260990829414411</v>
      </c>
      <c r="D20" s="40">
        <f t="shared" si="0"/>
        <v>-4.1265820881320227E-3</v>
      </c>
      <c r="E20" s="39">
        <f t="shared" si="4"/>
        <v>73.837403900641107</v>
      </c>
      <c r="F20" s="40">
        <f t="shared" si="1"/>
        <v>-9.4248153395135453E-3</v>
      </c>
      <c r="G20" s="80"/>
      <c r="H20" s="39">
        <f t="shared" si="5"/>
        <v>65.330920751143992</v>
      </c>
      <c r="I20" s="41">
        <f t="shared" si="7"/>
        <v>0</v>
      </c>
      <c r="J20" s="39">
        <f t="shared" si="6"/>
        <v>69.350088834656376</v>
      </c>
      <c r="K20" s="41">
        <f t="shared" si="8"/>
        <v>0.01</v>
      </c>
    </row>
    <row r="21" spans="2:11" x14ac:dyDescent="0.2">
      <c r="B21" s="38">
        <f t="shared" si="2"/>
        <v>2032</v>
      </c>
      <c r="C21" s="39">
        <f t="shared" si="3"/>
        <v>84.909154351841366</v>
      </c>
      <c r="D21" s="40">
        <f t="shared" si="0"/>
        <v>-3.2806327600649584E-3</v>
      </c>
      <c r="E21" s="39">
        <f t="shared" si="4"/>
        <v>73.141500003728481</v>
      </c>
      <c r="F21" s="40">
        <f t="shared" si="1"/>
        <v>-7.9168448851913778E-3</v>
      </c>
      <c r="G21" s="80"/>
      <c r="H21" s="39">
        <f t="shared" si="5"/>
        <v>65.330920751143992</v>
      </c>
      <c r="I21" s="41">
        <f t="shared" si="7"/>
        <v>0</v>
      </c>
      <c r="J21" s="39">
        <f t="shared" si="6"/>
        <v>70.043589723002938</v>
      </c>
      <c r="K21" s="41">
        <f t="shared" si="8"/>
        <v>0.01</v>
      </c>
    </row>
    <row r="22" spans="2:11" x14ac:dyDescent="0.2">
      <c r="B22" s="38">
        <f t="shared" si="2"/>
        <v>2033</v>
      </c>
      <c r="C22" s="39">
        <f t="shared" si="3"/>
        <v>84.630598598445303</v>
      </c>
      <c r="D22" s="40">
        <f t="shared" si="0"/>
        <v>-2.6081030442516419E-3</v>
      </c>
      <c r="E22" s="39">
        <f t="shared" si="4"/>
        <v>72.562450093528739</v>
      </c>
      <c r="F22" s="40">
        <f t="shared" si="1"/>
        <v>-6.6501497035607567E-3</v>
      </c>
      <c r="G22" s="80"/>
      <c r="H22" s="39">
        <f t="shared" si="5"/>
        <v>65.330920751143992</v>
      </c>
      <c r="I22" s="41">
        <f t="shared" si="7"/>
        <v>0</v>
      </c>
      <c r="J22" s="39">
        <f t="shared" si="6"/>
        <v>70.744025620232975</v>
      </c>
      <c r="K22" s="41">
        <f t="shared" si="8"/>
        <v>0.01</v>
      </c>
    </row>
    <row r="23" spans="2:11" x14ac:dyDescent="0.2">
      <c r="B23" s="38">
        <f t="shared" si="2"/>
        <v>2034</v>
      </c>
      <c r="C23" s="39">
        <f t="shared" si="3"/>
        <v>84.409873276603861</v>
      </c>
      <c r="D23" s="40">
        <f t="shared" si="0"/>
        <v>-2.0734419201800555E-3</v>
      </c>
      <c r="E23" s="39">
        <f t="shared" si="4"/>
        <v>72.079898937549615</v>
      </c>
      <c r="F23" s="40">
        <f t="shared" si="1"/>
        <v>-5.5861257509910358E-3</v>
      </c>
      <c r="G23" s="80"/>
      <c r="H23" s="39">
        <f t="shared" si="5"/>
        <v>65.330920751143992</v>
      </c>
      <c r="I23" s="41">
        <f t="shared" si="7"/>
        <v>0</v>
      </c>
      <c r="J23" s="39">
        <f t="shared" si="6"/>
        <v>71.451465876435307</v>
      </c>
      <c r="K23" s="41">
        <f t="shared" si="8"/>
        <v>0.01</v>
      </c>
    </row>
    <row r="24" spans="2:11" x14ac:dyDescent="0.2">
      <c r="B24" s="38">
        <f t="shared" si="2"/>
        <v>2035</v>
      </c>
      <c r="C24" s="39">
        <f t="shared" si="3"/>
        <v>84.234854306875064</v>
      </c>
      <c r="D24" s="40">
        <f t="shared" si="0"/>
        <v>-1.6483863265431443E-3</v>
      </c>
      <c r="E24" s="39">
        <f t="shared" ref="E24:E31" si="9">E23*(1+F23)</f>
        <v>71.677251557965732</v>
      </c>
      <c r="F24" s="40">
        <f t="shared" si="1"/>
        <v>-4.6923456308324701E-3</v>
      </c>
      <c r="G24" s="80"/>
      <c r="H24" s="39">
        <f t="shared" si="5"/>
        <v>65.330920751143992</v>
      </c>
      <c r="I24" s="41">
        <f t="shared" si="7"/>
        <v>0</v>
      </c>
      <c r="J24" s="39">
        <f t="shared" si="6"/>
        <v>72.165980535199665</v>
      </c>
      <c r="K24" s="41">
        <f t="shared" si="8"/>
        <v>0.01</v>
      </c>
    </row>
    <row r="25" spans="2:11" x14ac:dyDescent="0.2">
      <c r="B25" s="38">
        <f t="shared" si="2"/>
        <v>2036</v>
      </c>
      <c r="C25" s="39">
        <f t="shared" si="3"/>
        <v>84.096002724817254</v>
      </c>
      <c r="D25" s="40">
        <f t="shared" si="0"/>
        <v>-1.3104671296017998E-3</v>
      </c>
      <c r="E25" s="39">
        <f t="shared" si="9"/>
        <v>71.340917119787633</v>
      </c>
      <c r="F25" s="40">
        <f t="shared" si="1"/>
        <v>-3.9415703298992747E-3</v>
      </c>
      <c r="G25" s="80"/>
      <c r="H25" s="39">
        <f t="shared" si="5"/>
        <v>65.330920751143992</v>
      </c>
      <c r="I25" s="41">
        <f t="shared" si="7"/>
        <v>0</v>
      </c>
      <c r="J25" s="39">
        <f t="shared" si="6"/>
        <v>72.887640340551656</v>
      </c>
      <c r="K25" s="41">
        <f t="shared" si="8"/>
        <v>0.01</v>
      </c>
    </row>
    <row r="26" spans="2:11" x14ac:dyDescent="0.2">
      <c r="B26" s="38">
        <f t="shared" si="2"/>
        <v>2037</v>
      </c>
      <c r="C26" s="39">
        <f t="shared" si="3"/>
        <v>83.985797677515478</v>
      </c>
      <c r="D26" s="40">
        <f t="shared" si="0"/>
        <v>-1.0418213680334308E-3</v>
      </c>
      <c r="E26" s="39">
        <f t="shared" si="9"/>
        <v>71.059721877560477</v>
      </c>
      <c r="F26" s="40">
        <f t="shared" si="1"/>
        <v>-3.3109190771153907E-3</v>
      </c>
      <c r="G26" s="80"/>
      <c r="H26" s="39">
        <f t="shared" si="5"/>
        <v>65.330920751143992</v>
      </c>
      <c r="I26" s="41">
        <f t="shared" si="7"/>
        <v>0</v>
      </c>
      <c r="J26" s="39">
        <f t="shared" si="6"/>
        <v>73.616516743957177</v>
      </c>
      <c r="K26" s="41">
        <f t="shared" si="8"/>
        <v>0.01</v>
      </c>
    </row>
    <row r="27" spans="2:11" x14ac:dyDescent="0.2">
      <c r="B27" s="38">
        <f t="shared" si="2"/>
        <v>2038</v>
      </c>
      <c r="C27" s="39">
        <f t="shared" si="3"/>
        <v>83.898299478883715</v>
      </c>
      <c r="D27" s="40">
        <f t="shared" si="0"/>
        <v>-8.2824798758657757E-4</v>
      </c>
      <c r="E27" s="39">
        <f t="shared" si="9"/>
        <v>70.824448888781546</v>
      </c>
      <c r="F27" s="40">
        <f t="shared" si="1"/>
        <v>-2.7811720247769281E-3</v>
      </c>
      <c r="G27" s="80"/>
      <c r="H27" s="39">
        <f t="shared" si="5"/>
        <v>65.330920751143992</v>
      </c>
      <c r="I27" s="41">
        <f t="shared" si="7"/>
        <v>0</v>
      </c>
      <c r="J27" s="39">
        <f t="shared" si="6"/>
        <v>74.352681911396743</v>
      </c>
      <c r="K27" s="41">
        <f t="shared" si="8"/>
        <v>0.01</v>
      </c>
    </row>
    <row r="28" spans="2:11" x14ac:dyDescent="0.2">
      <c r="B28" s="52">
        <f t="shared" si="2"/>
        <v>2039</v>
      </c>
      <c r="C28" s="42">
        <f t="shared" si="3"/>
        <v>83.828810881178384</v>
      </c>
      <c r="D28" s="53">
        <f t="shared" si="0"/>
        <v>-6.5845715013132923E-4</v>
      </c>
      <c r="E28" s="42">
        <f t="shared" si="9"/>
        <v>70.627473912861831</v>
      </c>
      <c r="F28" s="53">
        <f t="shared" si="1"/>
        <v>-2.3361845008126195E-3</v>
      </c>
      <c r="G28" s="80"/>
      <c r="H28" s="42">
        <f t="shared" si="5"/>
        <v>65.330920751143992</v>
      </c>
      <c r="I28" s="54">
        <f t="shared" si="7"/>
        <v>0</v>
      </c>
      <c r="J28" s="42">
        <f t="shared" si="6"/>
        <v>75.09620873051071</v>
      </c>
      <c r="K28" s="54">
        <f t="shared" si="8"/>
        <v>0.01</v>
      </c>
    </row>
    <row r="29" spans="2:11" x14ac:dyDescent="0.2">
      <c r="B29" s="38">
        <f t="shared" si="2"/>
        <v>2040</v>
      </c>
      <c r="C29" s="108">
        <f t="shared" si="3"/>
        <v>83.77361320126667</v>
      </c>
      <c r="D29" s="40">
        <f t="shared" si="0"/>
        <v>-5.2347343435440671E-4</v>
      </c>
      <c r="E29" s="108">
        <f t="shared" si="9"/>
        <v>70.462475102975048</v>
      </c>
      <c r="F29" s="40">
        <f t="shared" si="1"/>
        <v>-1.9623949806826003E-3</v>
      </c>
      <c r="G29" s="80"/>
      <c r="H29" s="39">
        <f t="shared" si="5"/>
        <v>65.330920751143992</v>
      </c>
      <c r="I29" s="41">
        <f t="shared" si="7"/>
        <v>0</v>
      </c>
      <c r="J29" s="39">
        <f t="shared" si="6"/>
        <v>75.847170817815822</v>
      </c>
      <c r="K29" s="41">
        <f t="shared" si="8"/>
        <v>0.01</v>
      </c>
    </row>
    <row r="30" spans="2:11" x14ac:dyDescent="0.2">
      <c r="B30" s="38">
        <f t="shared" si="2"/>
        <v>2041</v>
      </c>
      <c r="C30" s="39">
        <f t="shared" si="3"/>
        <v>83.729759940255917</v>
      </c>
      <c r="D30" s="40">
        <f t="shared" si="0"/>
        <v>-4.1616138031175335E-4</v>
      </c>
      <c r="E30" s="39">
        <f t="shared" si="9"/>
        <v>70.324199895506496</v>
      </c>
      <c r="F30" s="40">
        <f t="shared" si="1"/>
        <v>-1.6484117837733843E-3</v>
      </c>
      <c r="G30" s="80"/>
      <c r="H30" s="39">
        <f t="shared" si="5"/>
        <v>65.330920751143992</v>
      </c>
      <c r="I30" s="41">
        <f t="shared" si="7"/>
        <v>0</v>
      </c>
      <c r="J30" s="39">
        <f t="shared" si="6"/>
        <v>76.605642525993986</v>
      </c>
      <c r="K30" s="41">
        <f t="shared" si="8"/>
        <v>0.01</v>
      </c>
    </row>
    <row r="31" spans="2:11" ht="17" thickBot="1" x14ac:dyDescent="0.25">
      <c r="B31" s="43">
        <f t="shared" si="2"/>
        <v>2042</v>
      </c>
      <c r="C31" s="44">
        <f t="shared" si="3"/>
        <v>83.694914847786009</v>
      </c>
      <c r="D31" s="45">
        <f t="shared" si="0"/>
        <v>-3.3084829734784395E-4</v>
      </c>
      <c r="E31" s="44">
        <f t="shared" si="9"/>
        <v>70.2082766557143</v>
      </c>
      <c r="F31" s="45">
        <f t="shared" si="1"/>
        <v>-1.3846658983696428E-3</v>
      </c>
      <c r="G31" s="81"/>
      <c r="H31" s="44">
        <f t="shared" si="5"/>
        <v>65.330920751143992</v>
      </c>
      <c r="I31" s="46">
        <f t="shared" si="7"/>
        <v>0</v>
      </c>
      <c r="J31" s="44">
        <f t="shared" si="6"/>
        <v>77.371698951253933</v>
      </c>
      <c r="K31" s="46">
        <f t="shared" si="8"/>
        <v>0.01</v>
      </c>
    </row>
    <row r="32" spans="2:11" s="9" customFormat="1" x14ac:dyDescent="0.2">
      <c r="B32" s="20" t="s">
        <v>18</v>
      </c>
      <c r="D32" s="21">
        <v>0.79500000000000004</v>
      </c>
      <c r="F32" s="21">
        <v>0.84</v>
      </c>
      <c r="G32" s="22"/>
    </row>
    <row r="33" spans="2:8" s="9" customFormat="1" x14ac:dyDescent="0.2">
      <c r="B33" s="20" t="s">
        <v>79</v>
      </c>
      <c r="C33" s="114">
        <f>Costs!S19</f>
        <v>83.885393258426959</v>
      </c>
      <c r="D33" s="21"/>
      <c r="E33" s="115">
        <f>Costs!S20</f>
        <v>69.904494382022463</v>
      </c>
      <c r="F33" s="21"/>
      <c r="G33" s="21"/>
      <c r="H33" s="22"/>
    </row>
    <row r="34" spans="2:8" s="9" customFormat="1" x14ac:dyDescent="0.2">
      <c r="B34" s="20"/>
      <c r="C34" s="114"/>
      <c r="D34" s="21"/>
      <c r="E34" s="115"/>
      <c r="F34" s="21"/>
      <c r="G34" s="21"/>
      <c r="H34" s="22"/>
    </row>
    <row r="35" spans="2:8" x14ac:dyDescent="0.2">
      <c r="B35" s="4" t="s">
        <v>1</v>
      </c>
      <c r="D35" s="6"/>
      <c r="F35" s="6"/>
    </row>
    <row r="36" spans="2:8" x14ac:dyDescent="0.2">
      <c r="B36" s="7" t="s">
        <v>7</v>
      </c>
      <c r="C36" s="5"/>
      <c r="D36" s="5"/>
      <c r="E36" s="5"/>
      <c r="F36" s="5"/>
    </row>
    <row r="37" spans="2:8" x14ac:dyDescent="0.2">
      <c r="B37" t="s">
        <v>11</v>
      </c>
    </row>
    <row r="38" spans="2:8" x14ac:dyDescent="0.2">
      <c r="B38" t="s">
        <v>20</v>
      </c>
    </row>
    <row r="39" spans="2:8" x14ac:dyDescent="0.2">
      <c r="B39" t="s">
        <v>85</v>
      </c>
    </row>
  </sheetData>
  <mergeCells count="4">
    <mergeCell ref="J3:K3"/>
    <mergeCell ref="C3:D3"/>
    <mergeCell ref="E3:F3"/>
    <mergeCell ref="H3:I3"/>
  </mergeCells>
  <pageMargins left="0.75" right="0.75" top="1" bottom="1" header="0.5" footer="0.5"/>
  <pageSetup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D1" workbookViewId="0">
      <selection activeCell="E33" sqref="E33"/>
    </sheetView>
  </sheetViews>
  <sheetFormatPr baseColWidth="10" defaultColWidth="11" defaultRowHeight="16" x14ac:dyDescent="0.2"/>
  <cols>
    <col min="1" max="1" width="2.83203125" customWidth="1"/>
    <col min="2" max="6" width="11.6640625" customWidth="1"/>
    <col min="7" max="7" width="2.83203125" customWidth="1"/>
    <col min="8" max="15" width="11.6640625" customWidth="1"/>
  </cols>
  <sheetData>
    <row r="1" spans="2:15" ht="21" x14ac:dyDescent="0.35">
      <c r="B1" s="18" t="s">
        <v>74</v>
      </c>
    </row>
    <row r="2" spans="2:15" ht="16.5" thickBot="1" x14ac:dyDescent="0.3"/>
    <row r="3" spans="2:15" ht="16.5" thickBot="1" x14ac:dyDescent="0.3">
      <c r="B3" s="50"/>
      <c r="C3" s="191" t="s">
        <v>70</v>
      </c>
      <c r="D3" s="192"/>
      <c r="E3" s="191" t="s">
        <v>69</v>
      </c>
      <c r="F3" s="192"/>
      <c r="G3" s="77"/>
      <c r="H3" s="191" t="s">
        <v>42</v>
      </c>
      <c r="I3" s="192"/>
      <c r="J3" s="191" t="s">
        <v>43</v>
      </c>
      <c r="K3" s="192"/>
      <c r="L3" s="191" t="s">
        <v>44</v>
      </c>
      <c r="M3" s="192"/>
      <c r="N3" s="191" t="s">
        <v>45</v>
      </c>
      <c r="O3" s="192"/>
    </row>
    <row r="4" spans="2:15" x14ac:dyDescent="0.2">
      <c r="B4" s="38"/>
      <c r="C4" s="47" t="s">
        <v>5</v>
      </c>
      <c r="D4" s="25" t="s">
        <v>10</v>
      </c>
      <c r="E4" s="47" t="s">
        <v>5</v>
      </c>
      <c r="F4" s="25" t="s">
        <v>10</v>
      </c>
      <c r="G4" s="78"/>
      <c r="H4" s="31" t="s">
        <v>5</v>
      </c>
      <c r="I4" s="76" t="s">
        <v>19</v>
      </c>
      <c r="J4" s="31" t="s">
        <v>5</v>
      </c>
      <c r="K4" s="76" t="s">
        <v>19</v>
      </c>
      <c r="L4" s="31" t="s">
        <v>5</v>
      </c>
      <c r="M4" s="76" t="s">
        <v>19</v>
      </c>
      <c r="N4" s="31" t="s">
        <v>5</v>
      </c>
      <c r="O4" s="76" t="s">
        <v>19</v>
      </c>
    </row>
    <row r="5" spans="2:15" ht="17" thickBot="1" x14ac:dyDescent="0.25">
      <c r="B5" s="51" t="s">
        <v>0</v>
      </c>
      <c r="C5" s="32" t="s">
        <v>6</v>
      </c>
      <c r="D5" s="49">
        <f>Costs!$F$31</f>
        <v>-0.15158472259582337</v>
      </c>
      <c r="E5" s="32" t="s">
        <v>6</v>
      </c>
      <c r="F5" s="49">
        <f>Costs!$F$31</f>
        <v>-0.15158472259582337</v>
      </c>
      <c r="G5" s="83"/>
      <c r="H5" s="32" t="s">
        <v>6</v>
      </c>
      <c r="I5" s="48">
        <v>0</v>
      </c>
      <c r="J5" s="32" t="s">
        <v>6</v>
      </c>
      <c r="K5" s="48">
        <v>0.01</v>
      </c>
      <c r="L5" s="32" t="s">
        <v>6</v>
      </c>
      <c r="M5" s="48">
        <v>0</v>
      </c>
      <c r="N5" s="32" t="s">
        <v>6</v>
      </c>
      <c r="O5" s="48">
        <v>0.01</v>
      </c>
    </row>
    <row r="6" spans="2:15" s="13" customFormat="1" x14ac:dyDescent="0.2">
      <c r="B6" s="35">
        <v>2017</v>
      </c>
      <c r="C6" s="36">
        <f>Costs!T$10</f>
        <v>116.938202247191</v>
      </c>
      <c r="D6" s="40">
        <f t="shared" ref="D6:D31" si="0">D5*D$32</f>
        <v>-9.7772146074306079E-2</v>
      </c>
      <c r="E6" s="36">
        <f>Costs!T10</f>
        <v>116.938202247191</v>
      </c>
      <c r="F6" s="40">
        <f t="shared" ref="F6:F31" si="1">F5*F$32</f>
        <v>-0.12429947252857515</v>
      </c>
      <c r="G6" s="80"/>
      <c r="H6" s="36">
        <f>46.32*1.05*1.05</f>
        <v>51.067800000000005</v>
      </c>
      <c r="I6" s="37">
        <v>0.02</v>
      </c>
      <c r="J6" s="36">
        <f>H6</f>
        <v>51.067800000000005</v>
      </c>
      <c r="K6" s="37">
        <v>0.02</v>
      </c>
      <c r="L6" s="36">
        <f>41.2*1.05*1.05</f>
        <v>45.423000000000009</v>
      </c>
      <c r="M6" s="37">
        <v>0.02</v>
      </c>
      <c r="N6" s="36">
        <f>L6</f>
        <v>45.423000000000009</v>
      </c>
      <c r="O6" s="37">
        <v>0.02</v>
      </c>
    </row>
    <row r="7" spans="2:15" x14ac:dyDescent="0.2">
      <c r="B7" s="38">
        <f>B6+1</f>
        <v>2018</v>
      </c>
      <c r="C7" s="39">
        <f>C6*(1+D6)</f>
        <v>105.50490325541189</v>
      </c>
      <c r="D7" s="40">
        <f t="shared" si="0"/>
        <v>-6.3063034217927416E-2</v>
      </c>
      <c r="E7" s="39">
        <f>E6*(1+F6)</f>
        <v>102.40284538942532</v>
      </c>
      <c r="F7" s="40">
        <f t="shared" si="1"/>
        <v>-0.10192556747343162</v>
      </c>
      <c r="G7" s="80"/>
      <c r="H7" s="39">
        <f>H6*(1+I6)</f>
        <v>52.08915600000001</v>
      </c>
      <c r="I7" s="41">
        <v>1.4999999999999999E-2</v>
      </c>
      <c r="J7" s="39">
        <f>J6*(1+K6)</f>
        <v>52.08915600000001</v>
      </c>
      <c r="K7" s="41">
        <v>1.4999999999999999E-2</v>
      </c>
      <c r="L7" s="39">
        <f>L6*(1+M6)</f>
        <v>46.331460000000007</v>
      </c>
      <c r="M7" s="41">
        <v>1.4999999999999999E-2</v>
      </c>
      <c r="N7" s="39">
        <f>N6*(1+O6)</f>
        <v>46.331460000000007</v>
      </c>
      <c r="O7" s="41">
        <v>1.4999999999999999E-2</v>
      </c>
    </row>
    <row r="8" spans="2:15" x14ac:dyDescent="0.2">
      <c r="B8" s="38">
        <f t="shared" ref="B8:B31" si="2">B7+1</f>
        <v>2019</v>
      </c>
      <c r="C8" s="39">
        <f t="shared" ref="C8:C31" si="3">C7*(1+D7)</f>
        <v>98.851443931256725</v>
      </c>
      <c r="D8" s="40">
        <f t="shared" si="0"/>
        <v>-4.0675657070563184E-2</v>
      </c>
      <c r="E8" s="39">
        <f t="shared" ref="E8:E23" si="4">E7*(1+F7)</f>
        <v>91.965377262214062</v>
      </c>
      <c r="F8" s="40">
        <f t="shared" si="1"/>
        <v>-8.3578965328213919E-2</v>
      </c>
      <c r="G8" s="80"/>
      <c r="H8" s="39">
        <f t="shared" ref="H8:H31" si="5">H7*(1+I7)</f>
        <v>52.870493340000003</v>
      </c>
      <c r="I8" s="41">
        <v>0.01</v>
      </c>
      <c r="J8" s="39">
        <f t="shared" ref="J8:J31" si="6">J7*(1+K7)</f>
        <v>52.870493340000003</v>
      </c>
      <c r="K8" s="41">
        <v>0.01</v>
      </c>
      <c r="L8" s="39">
        <f t="shared" ref="L8:L31" si="7">L7*(1+M7)</f>
        <v>47.026431900000006</v>
      </c>
      <c r="M8" s="41">
        <v>0.01</v>
      </c>
      <c r="N8" s="39">
        <f t="shared" ref="N8:N31" si="8">N7*(1+O7)</f>
        <v>47.026431900000006</v>
      </c>
      <c r="O8" s="41">
        <v>0.01</v>
      </c>
    </row>
    <row r="9" spans="2:15" x14ac:dyDescent="0.2">
      <c r="B9" s="38">
        <f t="shared" si="2"/>
        <v>2020</v>
      </c>
      <c r="C9" s="39">
        <f t="shared" si="3"/>
        <v>94.830596496978927</v>
      </c>
      <c r="D9" s="40">
        <f t="shared" si="0"/>
        <v>-2.6235798810513255E-2</v>
      </c>
      <c r="E9" s="39">
        <f t="shared" si="4"/>
        <v>84.279006184619362</v>
      </c>
      <c r="F9" s="40">
        <f t="shared" si="1"/>
        <v>-6.853475156913541E-2</v>
      </c>
      <c r="G9" s="80"/>
      <c r="H9" s="39">
        <f t="shared" si="5"/>
        <v>53.399198273400003</v>
      </c>
      <c r="I9" s="41">
        <v>6.0000000000000001E-3</v>
      </c>
      <c r="J9" s="39">
        <f t="shared" si="6"/>
        <v>53.399198273400003</v>
      </c>
      <c r="K9" s="41">
        <v>6.0000000000000001E-3</v>
      </c>
      <c r="L9" s="39">
        <f t="shared" si="7"/>
        <v>47.496696219000007</v>
      </c>
      <c r="M9" s="41">
        <v>6.0000000000000001E-3</v>
      </c>
      <c r="N9" s="39">
        <f t="shared" si="8"/>
        <v>47.496696219000007</v>
      </c>
      <c r="O9" s="41">
        <v>6.0000000000000001E-3</v>
      </c>
    </row>
    <row r="10" spans="2:15" x14ac:dyDescent="0.2">
      <c r="B10" s="38">
        <f t="shared" si="2"/>
        <v>2021</v>
      </c>
      <c r="C10" s="39">
        <f t="shared" si="3"/>
        <v>92.342640046203215</v>
      </c>
      <c r="D10" s="40">
        <f t="shared" si="0"/>
        <v>-1.6922090232781049E-2</v>
      </c>
      <c r="E10" s="39">
        <f t="shared" si="4"/>
        <v>78.502965433262844</v>
      </c>
      <c r="F10" s="40">
        <f t="shared" si="1"/>
        <v>-5.6198496286691033E-2</v>
      </c>
      <c r="G10" s="80"/>
      <c r="H10" s="39">
        <f t="shared" si="5"/>
        <v>53.719593463040404</v>
      </c>
      <c r="I10" s="41">
        <v>6.0000000000000001E-3</v>
      </c>
      <c r="J10" s="39">
        <f t="shared" si="6"/>
        <v>53.719593463040404</v>
      </c>
      <c r="K10" s="41">
        <v>6.0000000000000001E-3</v>
      </c>
      <c r="L10" s="39">
        <f t="shared" si="7"/>
        <v>47.781676396314005</v>
      </c>
      <c r="M10" s="41">
        <v>6.0000000000000001E-3</v>
      </c>
      <c r="N10" s="39">
        <f t="shared" si="8"/>
        <v>47.781676396314005</v>
      </c>
      <c r="O10" s="41">
        <v>6.0000000000000001E-3</v>
      </c>
    </row>
    <row r="11" spans="2:15" x14ac:dyDescent="0.2">
      <c r="B11" s="38">
        <f t="shared" si="2"/>
        <v>2022</v>
      </c>
      <c r="C11" s="42">
        <f t="shared" si="3"/>
        <v>90.78000955900815</v>
      </c>
      <c r="D11" s="40">
        <f t="shared" si="0"/>
        <v>-1.0914748200143777E-2</v>
      </c>
      <c r="E11" s="42">
        <f t="shared" si="4"/>
        <v>74.091216821867391</v>
      </c>
      <c r="F11" s="40">
        <f t="shared" si="1"/>
        <v>-4.6082766955086646E-2</v>
      </c>
      <c r="G11" s="80"/>
      <c r="H11" s="42">
        <f t="shared" si="5"/>
        <v>54.041911023818649</v>
      </c>
      <c r="I11" s="41">
        <v>6.0000000000000001E-3</v>
      </c>
      <c r="J11" s="42">
        <f t="shared" si="6"/>
        <v>54.041911023818649</v>
      </c>
      <c r="K11" s="41">
        <v>6.0000000000000001E-3</v>
      </c>
      <c r="L11" s="42">
        <f t="shared" si="7"/>
        <v>48.068366454691891</v>
      </c>
      <c r="M11" s="41">
        <v>6.0000000000000001E-3</v>
      </c>
      <c r="N11" s="42">
        <f t="shared" si="8"/>
        <v>48.068366454691891</v>
      </c>
      <c r="O11" s="41">
        <v>6.0000000000000001E-3</v>
      </c>
    </row>
    <row r="12" spans="2:15" x14ac:dyDescent="0.2">
      <c r="B12" s="38">
        <f t="shared" si="2"/>
        <v>2023</v>
      </c>
      <c r="C12" s="42">
        <f t="shared" si="3"/>
        <v>89.78916861306493</v>
      </c>
      <c r="D12" s="40">
        <f t="shared" si="0"/>
        <v>-7.0400125890927364E-3</v>
      </c>
      <c r="E12" s="42">
        <f t="shared" si="4"/>
        <v>70.676888543646484</v>
      </c>
      <c r="F12" s="40">
        <f t="shared" si="1"/>
        <v>-3.7787868903171047E-2</v>
      </c>
      <c r="G12" s="80"/>
      <c r="H12" s="42">
        <f t="shared" si="5"/>
        <v>54.36616248996156</v>
      </c>
      <c r="I12" s="41">
        <v>6.0000000000000001E-3</v>
      </c>
      <c r="J12" s="42">
        <f t="shared" si="6"/>
        <v>54.36616248996156</v>
      </c>
      <c r="K12" s="41">
        <v>6.0000000000000001E-3</v>
      </c>
      <c r="L12" s="42">
        <f t="shared" si="7"/>
        <v>48.356776653420042</v>
      </c>
      <c r="M12" s="41">
        <v>6.0000000000000001E-3</v>
      </c>
      <c r="N12" s="42">
        <f t="shared" si="8"/>
        <v>48.356776653420042</v>
      </c>
      <c r="O12" s="41">
        <v>6.0000000000000001E-3</v>
      </c>
    </row>
    <row r="13" spans="2:15" x14ac:dyDescent="0.2">
      <c r="B13" s="38">
        <f t="shared" si="2"/>
        <v>2024</v>
      </c>
      <c r="C13" s="42">
        <f t="shared" si="3"/>
        <v>89.15705173566478</v>
      </c>
      <c r="D13" s="40">
        <f t="shared" si="0"/>
        <v>-4.5408081199648153E-3</v>
      </c>
      <c r="E13" s="42">
        <f t="shared" si="4"/>
        <v>68.006159544875132</v>
      </c>
      <c r="F13" s="40">
        <f t="shared" si="1"/>
        <v>-3.0986052500600256E-2</v>
      </c>
      <c r="G13" s="80"/>
      <c r="H13" s="42">
        <f t="shared" si="5"/>
        <v>54.69235946490133</v>
      </c>
      <c r="I13" s="41">
        <v>6.0000000000000001E-3</v>
      </c>
      <c r="J13" s="42">
        <f t="shared" si="6"/>
        <v>54.69235946490133</v>
      </c>
      <c r="K13" s="41">
        <v>6.0000000000000001E-3</v>
      </c>
      <c r="L13" s="42">
        <f t="shared" si="7"/>
        <v>48.646917313340559</v>
      </c>
      <c r="M13" s="41">
        <v>6.0000000000000001E-3</v>
      </c>
      <c r="N13" s="42">
        <f t="shared" si="8"/>
        <v>48.646917313340559</v>
      </c>
      <c r="O13" s="41">
        <v>6.0000000000000001E-3</v>
      </c>
    </row>
    <row r="14" spans="2:15" x14ac:dyDescent="0.2">
      <c r="B14" s="38">
        <f t="shared" si="2"/>
        <v>2025</v>
      </c>
      <c r="C14" s="42">
        <f t="shared" si="3"/>
        <v>88.752206671191345</v>
      </c>
      <c r="D14" s="40">
        <f t="shared" si="0"/>
        <v>-2.928821237377306E-3</v>
      </c>
      <c r="E14" s="42">
        <f t="shared" si="4"/>
        <v>65.898917114853433</v>
      </c>
      <c r="F14" s="40">
        <f t="shared" si="1"/>
        <v>-2.540856305049221E-2</v>
      </c>
      <c r="G14" s="80"/>
      <c r="H14" s="42">
        <f t="shared" si="5"/>
        <v>55.020513621690739</v>
      </c>
      <c r="I14" s="41">
        <f t="shared" ref="I14:I31" si="9">I$5</f>
        <v>0</v>
      </c>
      <c r="J14" s="42">
        <f t="shared" si="6"/>
        <v>55.020513621690739</v>
      </c>
      <c r="K14" s="41">
        <f t="shared" ref="K14:K31" si="10">K$5</f>
        <v>0.01</v>
      </c>
      <c r="L14" s="42">
        <f t="shared" si="7"/>
        <v>48.938798817220601</v>
      </c>
      <c r="M14" s="41">
        <f t="shared" ref="M14:M31" si="11">M$5</f>
        <v>0</v>
      </c>
      <c r="N14" s="42">
        <f t="shared" si="8"/>
        <v>48.938798817220601</v>
      </c>
      <c r="O14" s="41">
        <f t="shared" ref="O14:O31" si="12">O$5</f>
        <v>0.01</v>
      </c>
    </row>
    <row r="15" spans="2:15" x14ac:dyDescent="0.2">
      <c r="B15" s="38">
        <f t="shared" si="2"/>
        <v>2026</v>
      </c>
      <c r="C15" s="42">
        <f t="shared" si="3"/>
        <v>88.492267323428663</v>
      </c>
      <c r="D15" s="40">
        <f t="shared" si="0"/>
        <v>-1.8890896981083624E-3</v>
      </c>
      <c r="E15" s="42">
        <f t="shared" si="4"/>
        <v>64.224520324381515</v>
      </c>
      <c r="F15" s="40">
        <f t="shared" si="1"/>
        <v>-2.0835021701403611E-2</v>
      </c>
      <c r="G15" s="80"/>
      <c r="H15" s="42">
        <f t="shared" si="5"/>
        <v>55.020513621690739</v>
      </c>
      <c r="I15" s="41">
        <f t="shared" si="9"/>
        <v>0</v>
      </c>
      <c r="J15" s="42">
        <f t="shared" si="6"/>
        <v>55.570718757907649</v>
      </c>
      <c r="K15" s="41">
        <f t="shared" si="10"/>
        <v>0.01</v>
      </c>
      <c r="L15" s="42">
        <f t="shared" si="7"/>
        <v>48.938798817220601</v>
      </c>
      <c r="M15" s="41">
        <f t="shared" si="11"/>
        <v>0</v>
      </c>
      <c r="N15" s="42">
        <f t="shared" si="8"/>
        <v>49.428186805392805</v>
      </c>
      <c r="O15" s="41">
        <f t="shared" si="12"/>
        <v>0.01</v>
      </c>
    </row>
    <row r="16" spans="2:15" x14ac:dyDescent="0.2">
      <c r="B16" s="38">
        <f t="shared" si="2"/>
        <v>2027</v>
      </c>
      <c r="C16" s="42">
        <f t="shared" si="3"/>
        <v>88.325097492865723</v>
      </c>
      <c r="D16" s="40">
        <f t="shared" si="0"/>
        <v>-1.2184628552798938E-3</v>
      </c>
      <c r="E16" s="42">
        <f t="shared" si="4"/>
        <v>62.88640104966079</v>
      </c>
      <c r="F16" s="40">
        <f t="shared" si="1"/>
        <v>-1.7084717795150962E-2</v>
      </c>
      <c r="G16" s="80"/>
      <c r="H16" s="42">
        <f t="shared" si="5"/>
        <v>55.020513621690739</v>
      </c>
      <c r="I16" s="41">
        <f t="shared" si="9"/>
        <v>0</v>
      </c>
      <c r="J16" s="42">
        <f t="shared" si="6"/>
        <v>56.126425945486723</v>
      </c>
      <c r="K16" s="41">
        <f t="shared" si="10"/>
        <v>0.01</v>
      </c>
      <c r="L16" s="42">
        <f t="shared" si="7"/>
        <v>48.938798817220601</v>
      </c>
      <c r="M16" s="41">
        <f t="shared" si="11"/>
        <v>0</v>
      </c>
      <c r="N16" s="42">
        <f t="shared" si="8"/>
        <v>49.922468673446737</v>
      </c>
      <c r="O16" s="41">
        <f t="shared" si="12"/>
        <v>0.01</v>
      </c>
    </row>
    <row r="17" spans="2:15" x14ac:dyDescent="0.2">
      <c r="B17" s="38">
        <f t="shared" si="2"/>
        <v>2028</v>
      </c>
      <c r="C17" s="42">
        <f t="shared" si="3"/>
        <v>88.217476642381683</v>
      </c>
      <c r="D17" s="40">
        <f t="shared" si="0"/>
        <v>-7.859085416555315E-4</v>
      </c>
      <c r="E17" s="42">
        <f t="shared" si="4"/>
        <v>61.812004634574649</v>
      </c>
      <c r="F17" s="40">
        <f t="shared" si="1"/>
        <v>-1.4009468592023788E-2</v>
      </c>
      <c r="G17" s="80"/>
      <c r="H17" s="42">
        <f t="shared" si="5"/>
        <v>55.020513621690739</v>
      </c>
      <c r="I17" s="41">
        <f t="shared" si="9"/>
        <v>0</v>
      </c>
      <c r="J17" s="42">
        <f t="shared" si="6"/>
        <v>56.687690204941589</v>
      </c>
      <c r="K17" s="41">
        <f t="shared" si="10"/>
        <v>0.01</v>
      </c>
      <c r="L17" s="42">
        <f t="shared" si="7"/>
        <v>48.938798817220601</v>
      </c>
      <c r="M17" s="41">
        <f t="shared" si="11"/>
        <v>0</v>
      </c>
      <c r="N17" s="42">
        <f t="shared" si="8"/>
        <v>50.421693360181202</v>
      </c>
      <c r="O17" s="41">
        <f t="shared" si="12"/>
        <v>0.01</v>
      </c>
    </row>
    <row r="18" spans="2:15" x14ac:dyDescent="0.2">
      <c r="B18" s="38">
        <f t="shared" si="2"/>
        <v>2029</v>
      </c>
      <c r="C18" s="42">
        <f t="shared" si="3"/>
        <v>88.14814577396514</v>
      </c>
      <c r="D18" s="40">
        <f t="shared" si="0"/>
        <v>-5.069110093678178E-4</v>
      </c>
      <c r="E18" s="42">
        <f t="shared" si="4"/>
        <v>60.946051297036547</v>
      </c>
      <c r="F18" s="40">
        <f t="shared" si="1"/>
        <v>-1.1487764245459506E-2</v>
      </c>
      <c r="G18" s="80"/>
      <c r="H18" s="42">
        <f t="shared" si="5"/>
        <v>55.020513621690739</v>
      </c>
      <c r="I18" s="41">
        <f t="shared" si="9"/>
        <v>0</v>
      </c>
      <c r="J18" s="42">
        <f t="shared" si="6"/>
        <v>57.254567106991004</v>
      </c>
      <c r="K18" s="41">
        <f t="shared" si="10"/>
        <v>0.01</v>
      </c>
      <c r="L18" s="42">
        <f t="shared" si="7"/>
        <v>48.938798817220601</v>
      </c>
      <c r="M18" s="41">
        <f t="shared" si="11"/>
        <v>0</v>
      </c>
      <c r="N18" s="42">
        <f t="shared" si="8"/>
        <v>50.925910293783012</v>
      </c>
      <c r="O18" s="41">
        <f t="shared" si="12"/>
        <v>0.01</v>
      </c>
    </row>
    <row r="19" spans="2:15" x14ac:dyDescent="0.2">
      <c r="B19" s="38">
        <f t="shared" si="2"/>
        <v>2030</v>
      </c>
      <c r="C19" s="42">
        <f t="shared" si="3"/>
        <v>88.103462508416953</v>
      </c>
      <c r="D19" s="40">
        <f t="shared" si="0"/>
        <v>-3.2695760104224251E-4</v>
      </c>
      <c r="E19" s="42">
        <f t="shared" si="4"/>
        <v>60.245917428044507</v>
      </c>
      <c r="F19" s="40">
        <f t="shared" si="1"/>
        <v>-9.4199666812767938E-3</v>
      </c>
      <c r="G19" s="80"/>
      <c r="H19" s="42">
        <f t="shared" si="5"/>
        <v>55.020513621690739</v>
      </c>
      <c r="I19" s="41">
        <f t="shared" si="9"/>
        <v>0</v>
      </c>
      <c r="J19" s="42">
        <f t="shared" si="6"/>
        <v>57.827112778060915</v>
      </c>
      <c r="K19" s="41">
        <f t="shared" si="10"/>
        <v>0.01</v>
      </c>
      <c r="L19" s="42">
        <f t="shared" si="7"/>
        <v>48.938798817220601</v>
      </c>
      <c r="M19" s="41">
        <f t="shared" si="11"/>
        <v>0</v>
      </c>
      <c r="N19" s="42">
        <f t="shared" si="8"/>
        <v>51.435169396720845</v>
      </c>
      <c r="O19" s="41">
        <f t="shared" si="12"/>
        <v>0.01</v>
      </c>
    </row>
    <row r="20" spans="2:15" x14ac:dyDescent="0.2">
      <c r="B20" s="38">
        <f t="shared" si="2"/>
        <v>2031</v>
      </c>
      <c r="C20" s="39">
        <f t="shared" si="3"/>
        <v>88.074656411671683</v>
      </c>
      <c r="D20" s="40">
        <f t="shared" si="0"/>
        <v>-2.1088765267224642E-4</v>
      </c>
      <c r="E20" s="39">
        <f t="shared" si="4"/>
        <v>59.678402893189379</v>
      </c>
      <c r="F20" s="40">
        <f t="shared" si="1"/>
        <v>-7.7243726786469704E-3</v>
      </c>
      <c r="G20" s="80"/>
      <c r="H20" s="39">
        <f t="shared" si="5"/>
        <v>55.020513621690739</v>
      </c>
      <c r="I20" s="41">
        <f t="shared" si="9"/>
        <v>0</v>
      </c>
      <c r="J20" s="39">
        <f t="shared" si="6"/>
        <v>58.405383905841525</v>
      </c>
      <c r="K20" s="41">
        <f t="shared" si="10"/>
        <v>0.01</v>
      </c>
      <c r="L20" s="39">
        <f t="shared" si="7"/>
        <v>48.938798817220601</v>
      </c>
      <c r="M20" s="41">
        <f t="shared" si="11"/>
        <v>0</v>
      </c>
      <c r="N20" s="39">
        <f t="shared" si="8"/>
        <v>51.949521090688052</v>
      </c>
      <c r="O20" s="41">
        <f t="shared" si="12"/>
        <v>0.01</v>
      </c>
    </row>
    <row r="21" spans="2:15" x14ac:dyDescent="0.2">
      <c r="B21" s="38">
        <f t="shared" si="2"/>
        <v>2032</v>
      </c>
      <c r="C21" s="39">
        <f t="shared" si="3"/>
        <v>88.056082554121105</v>
      </c>
      <c r="D21" s="40">
        <f t="shared" si="0"/>
        <v>-1.3602253597359894E-4</v>
      </c>
      <c r="E21" s="39">
        <f t="shared" si="4"/>
        <v>59.217424668375941</v>
      </c>
      <c r="F21" s="40">
        <f t="shared" si="1"/>
        <v>-6.3339855964905153E-3</v>
      </c>
      <c r="G21" s="80"/>
      <c r="H21" s="39">
        <f t="shared" si="5"/>
        <v>55.020513621690739</v>
      </c>
      <c r="I21" s="41">
        <f t="shared" si="9"/>
        <v>0</v>
      </c>
      <c r="J21" s="39">
        <f t="shared" si="6"/>
        <v>58.989437744899938</v>
      </c>
      <c r="K21" s="41">
        <f t="shared" si="10"/>
        <v>0.01</v>
      </c>
      <c r="L21" s="39">
        <f t="shared" si="7"/>
        <v>48.938798817220601</v>
      </c>
      <c r="M21" s="41">
        <f t="shared" si="11"/>
        <v>0</v>
      </c>
      <c r="N21" s="39">
        <f t="shared" si="8"/>
        <v>52.469016301594934</v>
      </c>
      <c r="O21" s="41">
        <f t="shared" si="12"/>
        <v>0.01</v>
      </c>
    </row>
    <row r="22" spans="2:15" x14ac:dyDescent="0.2">
      <c r="B22" s="38">
        <f t="shared" si="2"/>
        <v>2033</v>
      </c>
      <c r="C22" s="39">
        <f t="shared" si="3"/>
        <v>88.044104942464202</v>
      </c>
      <c r="D22" s="40">
        <f t="shared" si="0"/>
        <v>-8.7734535702971319E-5</v>
      </c>
      <c r="E22" s="39">
        <f t="shared" si="4"/>
        <v>58.842342353465185</v>
      </c>
      <c r="F22" s="40">
        <f t="shared" si="1"/>
        <v>-5.1938681891222221E-3</v>
      </c>
      <c r="G22" s="80"/>
      <c r="H22" s="39">
        <f t="shared" si="5"/>
        <v>55.020513621690739</v>
      </c>
      <c r="I22" s="41">
        <f t="shared" si="9"/>
        <v>0</v>
      </c>
      <c r="J22" s="39">
        <f t="shared" si="6"/>
        <v>59.579332122348937</v>
      </c>
      <c r="K22" s="41">
        <f t="shared" si="10"/>
        <v>0.01</v>
      </c>
      <c r="L22" s="39">
        <f t="shared" si="7"/>
        <v>48.938798817220601</v>
      </c>
      <c r="M22" s="41">
        <f t="shared" si="11"/>
        <v>0</v>
      </c>
      <c r="N22" s="39">
        <f t="shared" si="8"/>
        <v>52.993706464610881</v>
      </c>
      <c r="O22" s="41">
        <f t="shared" si="12"/>
        <v>0.01</v>
      </c>
    </row>
    <row r="23" spans="2:15" x14ac:dyDescent="0.2">
      <c r="B23" s="38">
        <f t="shared" si="2"/>
        <v>2034</v>
      </c>
      <c r="C23" s="39">
        <f t="shared" si="3"/>
        <v>88.036380433795685</v>
      </c>
      <c r="D23" s="40">
        <f t="shared" si="0"/>
        <v>-5.6588775528416504E-5</v>
      </c>
      <c r="E23" s="39">
        <f t="shared" si="4"/>
        <v>58.536722983342081</v>
      </c>
      <c r="F23" s="40">
        <f t="shared" si="1"/>
        <v>-4.258971915080222E-3</v>
      </c>
      <c r="G23" s="80"/>
      <c r="H23" s="39">
        <f t="shared" si="5"/>
        <v>55.020513621690739</v>
      </c>
      <c r="I23" s="41">
        <f t="shared" si="9"/>
        <v>0</v>
      </c>
      <c r="J23" s="39">
        <f t="shared" si="6"/>
        <v>60.175125443572426</v>
      </c>
      <c r="K23" s="41">
        <f t="shared" si="10"/>
        <v>0.01</v>
      </c>
      <c r="L23" s="39">
        <f t="shared" si="7"/>
        <v>48.938798817220601</v>
      </c>
      <c r="M23" s="41">
        <f t="shared" si="11"/>
        <v>0</v>
      </c>
      <c r="N23" s="39">
        <f t="shared" si="8"/>
        <v>53.523643529256994</v>
      </c>
      <c r="O23" s="41">
        <f t="shared" si="12"/>
        <v>0.01</v>
      </c>
    </row>
    <row r="24" spans="2:15" x14ac:dyDescent="0.2">
      <c r="B24" s="38">
        <f t="shared" si="2"/>
        <v>2035</v>
      </c>
      <c r="C24" s="39">
        <f t="shared" si="3"/>
        <v>88.03139856282499</v>
      </c>
      <c r="D24" s="40">
        <f t="shared" si="0"/>
        <v>-3.6499760215828647E-5</v>
      </c>
      <c r="E24" s="39">
        <f t="shared" ref="E24:E31" si="13">E23*(1+F23)</f>
        <v>58.2874167241552</v>
      </c>
      <c r="F24" s="40">
        <f t="shared" si="1"/>
        <v>-3.4923569703657819E-3</v>
      </c>
      <c r="G24" s="80"/>
      <c r="H24" s="39">
        <f t="shared" si="5"/>
        <v>55.020513621690739</v>
      </c>
      <c r="I24" s="41">
        <f t="shared" si="9"/>
        <v>0</v>
      </c>
      <c r="J24" s="39">
        <f t="shared" si="6"/>
        <v>60.776876698008152</v>
      </c>
      <c r="K24" s="41">
        <f t="shared" si="10"/>
        <v>0.01</v>
      </c>
      <c r="L24" s="39">
        <f t="shared" si="7"/>
        <v>48.938798817220601</v>
      </c>
      <c r="M24" s="41">
        <f t="shared" si="11"/>
        <v>0</v>
      </c>
      <c r="N24" s="39">
        <f t="shared" si="8"/>
        <v>54.058879964549561</v>
      </c>
      <c r="O24" s="41">
        <f t="shared" si="12"/>
        <v>0.01</v>
      </c>
    </row>
    <row r="25" spans="2:15" x14ac:dyDescent="0.2">
      <c r="B25" s="38">
        <f t="shared" si="2"/>
        <v>2036</v>
      </c>
      <c r="C25" s="39">
        <f t="shared" si="3"/>
        <v>88.02818543788598</v>
      </c>
      <c r="D25" s="40">
        <f t="shared" si="0"/>
        <v>-2.3542345339209478E-5</v>
      </c>
      <c r="E25" s="39">
        <f t="shared" si="13"/>
        <v>58.083856258073986</v>
      </c>
      <c r="F25" s="40">
        <f t="shared" si="1"/>
        <v>-2.8637327156999411E-3</v>
      </c>
      <c r="G25" s="80"/>
      <c r="H25" s="39">
        <f t="shared" si="5"/>
        <v>55.020513621690739</v>
      </c>
      <c r="I25" s="41">
        <f t="shared" si="9"/>
        <v>0</v>
      </c>
      <c r="J25" s="39">
        <f t="shared" si="6"/>
        <v>61.384645464988232</v>
      </c>
      <c r="K25" s="41">
        <f t="shared" si="10"/>
        <v>0.01</v>
      </c>
      <c r="L25" s="39">
        <f t="shared" si="7"/>
        <v>48.938798817220601</v>
      </c>
      <c r="M25" s="41">
        <f t="shared" si="11"/>
        <v>0</v>
      </c>
      <c r="N25" s="39">
        <f t="shared" si="8"/>
        <v>54.599468764195059</v>
      </c>
      <c r="O25" s="41">
        <f t="shared" si="12"/>
        <v>0.01</v>
      </c>
    </row>
    <row r="26" spans="2:15" x14ac:dyDescent="0.2">
      <c r="B26" s="38">
        <f t="shared" si="2"/>
        <v>2037</v>
      </c>
      <c r="C26" s="39">
        <f t="shared" si="3"/>
        <v>88.026113047944818</v>
      </c>
      <c r="D26" s="40">
        <f t="shared" si="0"/>
        <v>-1.5184812743790114E-5</v>
      </c>
      <c r="E26" s="39">
        <f t="shared" si="13"/>
        <v>57.917519618653728</v>
      </c>
      <c r="F26" s="40">
        <f t="shared" si="1"/>
        <v>-2.3482608268739517E-3</v>
      </c>
      <c r="G26" s="80"/>
      <c r="H26" s="39">
        <f t="shared" si="5"/>
        <v>55.020513621690739</v>
      </c>
      <c r="I26" s="41">
        <f t="shared" si="9"/>
        <v>0</v>
      </c>
      <c r="J26" s="39">
        <f t="shared" si="6"/>
        <v>61.998491919638113</v>
      </c>
      <c r="K26" s="41">
        <f t="shared" si="10"/>
        <v>0.01</v>
      </c>
      <c r="L26" s="39">
        <f t="shared" si="7"/>
        <v>48.938798817220601</v>
      </c>
      <c r="M26" s="41">
        <f t="shared" si="11"/>
        <v>0</v>
      </c>
      <c r="N26" s="39">
        <f t="shared" si="8"/>
        <v>55.14546345183701</v>
      </c>
      <c r="O26" s="41">
        <f t="shared" si="12"/>
        <v>0.01</v>
      </c>
    </row>
    <row r="27" spans="2:15" x14ac:dyDescent="0.2">
      <c r="B27" s="38">
        <f t="shared" si="2"/>
        <v>2038</v>
      </c>
      <c r="C27" s="39">
        <f t="shared" si="3"/>
        <v>88.024776387901625</v>
      </c>
      <c r="D27" s="40">
        <f t="shared" si="0"/>
        <v>-9.7942042197446236E-6</v>
      </c>
      <c r="E27" s="39">
        <f t="shared" si="13"/>
        <v>57.781514176143538</v>
      </c>
      <c r="F27" s="40">
        <f t="shared" si="1"/>
        <v>-1.9255738780366402E-3</v>
      </c>
      <c r="G27" s="80"/>
      <c r="H27" s="39">
        <f t="shared" si="5"/>
        <v>55.020513621690739</v>
      </c>
      <c r="I27" s="41">
        <f t="shared" si="9"/>
        <v>0</v>
      </c>
      <c r="J27" s="39">
        <f t="shared" si="6"/>
        <v>62.618476838834496</v>
      </c>
      <c r="K27" s="41">
        <f t="shared" si="10"/>
        <v>0.01</v>
      </c>
      <c r="L27" s="39">
        <f t="shared" si="7"/>
        <v>48.938798817220601</v>
      </c>
      <c r="M27" s="41">
        <f t="shared" si="11"/>
        <v>0</v>
      </c>
      <c r="N27" s="39">
        <f t="shared" si="8"/>
        <v>55.696918086355382</v>
      </c>
      <c r="O27" s="41">
        <f t="shared" si="12"/>
        <v>0.01</v>
      </c>
    </row>
    <row r="28" spans="2:15" x14ac:dyDescent="0.2">
      <c r="B28" s="52">
        <f t="shared" si="2"/>
        <v>2039</v>
      </c>
      <c r="C28" s="42">
        <f t="shared" si="3"/>
        <v>88.023914255265282</v>
      </c>
      <c r="D28" s="53">
        <f t="shared" si="0"/>
        <v>-6.3172617217352822E-6</v>
      </c>
      <c r="E28" s="42">
        <f t="shared" si="13"/>
        <v>57.670251601812552</v>
      </c>
      <c r="F28" s="53">
        <f t="shared" si="1"/>
        <v>-1.578970579990045E-3</v>
      </c>
      <c r="G28" s="80"/>
      <c r="H28" s="42">
        <f t="shared" si="5"/>
        <v>55.020513621690739</v>
      </c>
      <c r="I28" s="54">
        <f t="shared" si="9"/>
        <v>0</v>
      </c>
      <c r="J28" s="42">
        <f t="shared" si="6"/>
        <v>63.244661607222845</v>
      </c>
      <c r="K28" s="54">
        <f t="shared" si="10"/>
        <v>0.01</v>
      </c>
      <c r="L28" s="42">
        <f t="shared" si="7"/>
        <v>48.938798817220601</v>
      </c>
      <c r="M28" s="54">
        <f t="shared" si="11"/>
        <v>0</v>
      </c>
      <c r="N28" s="42">
        <f t="shared" si="8"/>
        <v>56.253887267218936</v>
      </c>
      <c r="O28" s="54">
        <f t="shared" si="12"/>
        <v>0.01</v>
      </c>
    </row>
    <row r="29" spans="2:15" x14ac:dyDescent="0.2">
      <c r="B29" s="38">
        <f t="shared" si="2"/>
        <v>2040</v>
      </c>
      <c r="C29" s="108">
        <f t="shared" si="3"/>
        <v>88.023358185161158</v>
      </c>
      <c r="D29" s="40">
        <f t="shared" si="0"/>
        <v>-4.074633810519257E-6</v>
      </c>
      <c r="E29" s="108">
        <f t="shared" si="13"/>
        <v>57.579191971192671</v>
      </c>
      <c r="F29" s="40">
        <f t="shared" si="1"/>
        <v>-1.2947558755918367E-3</v>
      </c>
      <c r="G29" s="80"/>
      <c r="H29" s="39">
        <f t="shared" si="5"/>
        <v>55.020513621690739</v>
      </c>
      <c r="I29" s="41">
        <f t="shared" si="9"/>
        <v>0</v>
      </c>
      <c r="J29" s="39">
        <f t="shared" si="6"/>
        <v>63.877108223295075</v>
      </c>
      <c r="K29" s="41">
        <f t="shared" si="10"/>
        <v>0.01</v>
      </c>
      <c r="L29" s="39">
        <f t="shared" si="7"/>
        <v>48.938798817220601</v>
      </c>
      <c r="M29" s="41">
        <f t="shared" si="11"/>
        <v>0</v>
      </c>
      <c r="N29" s="39">
        <f t="shared" si="8"/>
        <v>56.816426139891128</v>
      </c>
      <c r="O29" s="41">
        <f t="shared" si="12"/>
        <v>0.01</v>
      </c>
    </row>
    <row r="30" spans="2:15" x14ac:dyDescent="0.2">
      <c r="B30" s="38">
        <f t="shared" si="2"/>
        <v>2041</v>
      </c>
      <c r="C30" s="39">
        <f t="shared" si="3"/>
        <v>88.022999522209787</v>
      </c>
      <c r="D30" s="40">
        <f t="shared" si="0"/>
        <v>-2.628138807784921E-6</v>
      </c>
      <c r="E30" s="39">
        <f t="shared" si="13"/>
        <v>57.504640974076139</v>
      </c>
      <c r="F30" s="40">
        <f t="shared" si="1"/>
        <v>-1.0616998179853062E-3</v>
      </c>
      <c r="G30" s="80"/>
      <c r="H30" s="39">
        <f t="shared" si="5"/>
        <v>55.020513621690739</v>
      </c>
      <c r="I30" s="41">
        <f t="shared" si="9"/>
        <v>0</v>
      </c>
      <c r="J30" s="39">
        <f t="shared" si="6"/>
        <v>64.515879305528031</v>
      </c>
      <c r="K30" s="41">
        <f t="shared" si="10"/>
        <v>0.01</v>
      </c>
      <c r="L30" s="39">
        <f t="shared" si="7"/>
        <v>48.938798817220601</v>
      </c>
      <c r="M30" s="41">
        <f t="shared" si="11"/>
        <v>0</v>
      </c>
      <c r="N30" s="39">
        <f t="shared" si="8"/>
        <v>57.384590401290041</v>
      </c>
      <c r="O30" s="41">
        <f t="shared" si="12"/>
        <v>0.01</v>
      </c>
    </row>
    <row r="31" spans="2:15" ht="17" thickBot="1" x14ac:dyDescent="0.25">
      <c r="B31" s="43">
        <f t="shared" si="2"/>
        <v>2042</v>
      </c>
      <c r="C31" s="44">
        <f t="shared" si="3"/>
        <v>88.02276818554877</v>
      </c>
      <c r="D31" s="45">
        <f t="shared" si="0"/>
        <v>-1.6951495310212742E-6</v>
      </c>
      <c r="E31" s="44">
        <f t="shared" si="13"/>
        <v>57.443588307220651</v>
      </c>
      <c r="F31" s="45">
        <f t="shared" si="1"/>
        <v>-8.7059385074795095E-4</v>
      </c>
      <c r="G31" s="81"/>
      <c r="H31" s="44">
        <f t="shared" si="5"/>
        <v>55.020513621690739</v>
      </c>
      <c r="I31" s="46">
        <f t="shared" si="9"/>
        <v>0</v>
      </c>
      <c r="J31" s="44">
        <f t="shared" si="6"/>
        <v>65.161038098583319</v>
      </c>
      <c r="K31" s="46">
        <f t="shared" si="10"/>
        <v>0.01</v>
      </c>
      <c r="L31" s="44">
        <f t="shared" si="7"/>
        <v>48.938798817220601</v>
      </c>
      <c r="M31" s="46">
        <f t="shared" si="11"/>
        <v>0</v>
      </c>
      <c r="N31" s="44">
        <f t="shared" si="8"/>
        <v>57.958436305302939</v>
      </c>
      <c r="O31" s="46">
        <f t="shared" si="12"/>
        <v>0.01</v>
      </c>
    </row>
    <row r="32" spans="2:15" s="9" customFormat="1" x14ac:dyDescent="0.2">
      <c r="B32" s="20" t="s">
        <v>18</v>
      </c>
      <c r="D32" s="21">
        <v>0.64500000000000002</v>
      </c>
      <c r="F32" s="21">
        <v>0.82</v>
      </c>
      <c r="G32" s="21"/>
      <c r="H32" s="22"/>
    </row>
    <row r="33" spans="2:8" s="9" customFormat="1" x14ac:dyDescent="0.2">
      <c r="B33" s="20" t="s">
        <v>79</v>
      </c>
      <c r="C33" s="114">
        <f>Costs!T19</f>
        <v>87.703651685393254</v>
      </c>
      <c r="D33" s="21"/>
      <c r="E33" s="115">
        <f>Costs!T20</f>
        <v>58.4691011235955</v>
      </c>
      <c r="F33" s="21"/>
      <c r="G33" s="21"/>
      <c r="H33" s="22"/>
    </row>
    <row r="34" spans="2:8" x14ac:dyDescent="0.2">
      <c r="B34" s="4"/>
      <c r="D34" s="6"/>
      <c r="F34" s="6"/>
    </row>
    <row r="35" spans="2:8" x14ac:dyDescent="0.2">
      <c r="B35" s="4" t="s">
        <v>1</v>
      </c>
      <c r="D35" s="6"/>
      <c r="F35" s="6"/>
    </row>
    <row r="36" spans="2:8" x14ac:dyDescent="0.2">
      <c r="B36" s="7" t="s">
        <v>7</v>
      </c>
      <c r="C36" s="5"/>
      <c r="D36" s="5"/>
      <c r="E36" s="5"/>
      <c r="F36" s="5"/>
    </row>
    <row r="37" spans="2:8" x14ac:dyDescent="0.2">
      <c r="B37" t="s">
        <v>11</v>
      </c>
    </row>
    <row r="38" spans="2:8" x14ac:dyDescent="0.2">
      <c r="B38" t="s">
        <v>20</v>
      </c>
    </row>
    <row r="39" spans="2:8" x14ac:dyDescent="0.2">
      <c r="B39" t="s">
        <v>85</v>
      </c>
    </row>
  </sheetData>
  <mergeCells count="6">
    <mergeCell ref="J3:K3"/>
    <mergeCell ref="L3:M3"/>
    <mergeCell ref="N3:O3"/>
    <mergeCell ref="C3:D3"/>
    <mergeCell ref="E3:F3"/>
    <mergeCell ref="H3:I3"/>
  </mergeCells>
  <pageMargins left="0.75" right="0.75" top="1" bottom="1" header="0.5" footer="0.5"/>
  <pageSetup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abSelected="1" workbookViewId="0">
      <selection activeCell="C14" sqref="C14"/>
    </sheetView>
  </sheetViews>
  <sheetFormatPr baseColWidth="10" defaultColWidth="11" defaultRowHeight="16" x14ac:dyDescent="0.2"/>
  <cols>
    <col min="1" max="1" width="2.83203125" customWidth="1"/>
    <col min="2" max="6" width="11.6640625" customWidth="1"/>
    <col min="7" max="7" width="2.83203125" customWidth="1"/>
    <col min="8" max="15" width="11.6640625" customWidth="1"/>
  </cols>
  <sheetData>
    <row r="1" spans="2:15" ht="21" x14ac:dyDescent="0.35">
      <c r="B1" s="18" t="s">
        <v>71</v>
      </c>
    </row>
    <row r="2" spans="2:15" ht="16.5" thickBot="1" x14ac:dyDescent="0.3"/>
    <row r="3" spans="2:15" ht="16.5" thickBot="1" x14ac:dyDescent="0.3">
      <c r="B3" s="50"/>
      <c r="C3" s="191" t="s">
        <v>73</v>
      </c>
      <c r="D3" s="192"/>
      <c r="E3" s="191" t="s">
        <v>72</v>
      </c>
      <c r="F3" s="192"/>
      <c r="G3" s="77"/>
      <c r="H3" s="191" t="s">
        <v>42</v>
      </c>
      <c r="I3" s="192"/>
      <c r="J3" s="191" t="s">
        <v>43</v>
      </c>
      <c r="K3" s="192"/>
      <c r="L3" s="191" t="s">
        <v>44</v>
      </c>
      <c r="M3" s="192"/>
      <c r="N3" s="191" t="s">
        <v>45</v>
      </c>
      <c r="O3" s="192"/>
    </row>
    <row r="4" spans="2:15" x14ac:dyDescent="0.2">
      <c r="B4" s="38"/>
      <c r="C4" s="47" t="s">
        <v>5</v>
      </c>
      <c r="D4" s="25" t="s">
        <v>10</v>
      </c>
      <c r="E4" s="47" t="s">
        <v>5</v>
      </c>
      <c r="F4" s="25" t="s">
        <v>10</v>
      </c>
      <c r="G4" s="78"/>
      <c r="H4" s="31" t="s">
        <v>5</v>
      </c>
      <c r="I4" s="76" t="s">
        <v>19</v>
      </c>
      <c r="J4" s="31" t="s">
        <v>5</v>
      </c>
      <c r="K4" s="76" t="s">
        <v>19</v>
      </c>
      <c r="L4" s="31" t="s">
        <v>5</v>
      </c>
      <c r="M4" s="76" t="s">
        <v>19</v>
      </c>
      <c r="N4" s="31" t="s">
        <v>5</v>
      </c>
      <c r="O4" s="76" t="s">
        <v>19</v>
      </c>
    </row>
    <row r="5" spans="2:15" ht="17" thickBot="1" x14ac:dyDescent="0.25">
      <c r="B5" s="51" t="s">
        <v>0</v>
      </c>
      <c r="C5" s="32" t="s">
        <v>6</v>
      </c>
      <c r="D5" s="49">
        <f>Costs!$F$31</f>
        <v>-0.15158472259582337</v>
      </c>
      <c r="E5" s="32" t="s">
        <v>6</v>
      </c>
      <c r="F5" s="49">
        <f>Costs!$F$31</f>
        <v>-0.15158472259582337</v>
      </c>
      <c r="G5" s="83"/>
      <c r="H5" s="32" t="s">
        <v>6</v>
      </c>
      <c r="I5" s="48">
        <v>0</v>
      </c>
      <c r="J5" s="32" t="s">
        <v>6</v>
      </c>
      <c r="K5" s="48">
        <v>0.01</v>
      </c>
      <c r="L5" s="32" t="s">
        <v>6</v>
      </c>
      <c r="M5" s="48">
        <v>0</v>
      </c>
      <c r="N5" s="32" t="s">
        <v>6</v>
      </c>
      <c r="O5" s="48">
        <v>0.01</v>
      </c>
    </row>
    <row r="6" spans="2:15" s="13" customFormat="1" x14ac:dyDescent="0.2">
      <c r="B6" s="35">
        <v>2017</v>
      </c>
      <c r="C6" s="36">
        <f>Costs!U$10</f>
        <v>78.82022471910112</v>
      </c>
      <c r="D6" s="40">
        <f t="shared" ref="D6:D31" si="0">D5*D$32</f>
        <v>-9.8530069687285199E-2</v>
      </c>
      <c r="E6" s="36">
        <f>Costs!U10</f>
        <v>78.82022471910112</v>
      </c>
      <c r="F6" s="40">
        <f t="shared" ref="F6:F31" si="1">F5*F$32</f>
        <v>-0.12429947252857515</v>
      </c>
      <c r="G6" s="80"/>
      <c r="H6" s="36">
        <f>46.32*1.05*1.05</f>
        <v>51.067800000000005</v>
      </c>
      <c r="I6" s="37">
        <v>0.02</v>
      </c>
      <c r="J6" s="36">
        <f>H6</f>
        <v>51.067800000000005</v>
      </c>
      <c r="K6" s="37">
        <v>0.02</v>
      </c>
      <c r="L6" s="36">
        <f>41.2*1.05*1.05</f>
        <v>45.423000000000009</v>
      </c>
      <c r="M6" s="37">
        <v>0.02</v>
      </c>
      <c r="N6" s="36">
        <f>L6</f>
        <v>45.423000000000009</v>
      </c>
      <c r="O6" s="37">
        <v>0.02</v>
      </c>
    </row>
    <row r="7" spans="2:15" x14ac:dyDescent="0.2">
      <c r="B7" s="38">
        <f>B6+1</f>
        <v>2018</v>
      </c>
      <c r="C7" s="39">
        <f>C6*(1+D6)</f>
        <v>71.054062484760607</v>
      </c>
      <c r="D7" s="40">
        <f t="shared" si="0"/>
        <v>-6.4044545296735381E-2</v>
      </c>
      <c r="E7" s="39">
        <f>E6*(1+F6)</f>
        <v>69.022912361933095</v>
      </c>
      <c r="F7" s="40">
        <f t="shared" si="1"/>
        <v>-0.10192556747343162</v>
      </c>
      <c r="G7" s="80"/>
      <c r="H7" s="39">
        <f>H6*(1+I6)</f>
        <v>52.08915600000001</v>
      </c>
      <c r="I7" s="41">
        <v>1.4999999999999999E-2</v>
      </c>
      <c r="J7" s="39">
        <f>J6*(1+K6)</f>
        <v>52.08915600000001</v>
      </c>
      <c r="K7" s="41">
        <v>1.4999999999999999E-2</v>
      </c>
      <c r="L7" s="39">
        <f>L6*(1+M6)</f>
        <v>46.331460000000007</v>
      </c>
      <c r="M7" s="41">
        <v>1.4999999999999999E-2</v>
      </c>
      <c r="N7" s="39">
        <f>N6*(1+O6)</f>
        <v>46.331460000000007</v>
      </c>
      <c r="O7" s="41">
        <v>1.4999999999999999E-2</v>
      </c>
    </row>
    <row r="8" spans="2:15" x14ac:dyDescent="0.2">
      <c r="B8" s="38">
        <f t="shared" ref="B8:B31" si="2">B7+1</f>
        <v>2019</v>
      </c>
      <c r="C8" s="39">
        <f t="shared" ref="C8:C31" si="3">C7*(1+D7)</f>
        <v>66.503437361438287</v>
      </c>
      <c r="D8" s="40">
        <f t="shared" si="0"/>
        <v>-4.1628954442878001E-2</v>
      </c>
      <c r="E8" s="39">
        <f t="shared" ref="E8:E31" si="4">E7*(1+F7)</f>
        <v>61.987712850774123</v>
      </c>
      <c r="F8" s="40">
        <f t="shared" si="1"/>
        <v>-8.3578965328213919E-2</v>
      </c>
      <c r="G8" s="80"/>
      <c r="H8" s="39">
        <f t="shared" ref="H8:H31" si="5">H7*(1+I7)</f>
        <v>52.870493340000003</v>
      </c>
      <c r="I8" s="41">
        <v>0.01</v>
      </c>
      <c r="J8" s="39">
        <f t="shared" ref="J8:J31" si="6">J7*(1+K7)</f>
        <v>52.870493340000003</v>
      </c>
      <c r="K8" s="41">
        <v>0.01</v>
      </c>
      <c r="L8" s="39">
        <f t="shared" ref="L8:L31" si="7">L7*(1+M7)</f>
        <v>47.026431900000006</v>
      </c>
      <c r="M8" s="41">
        <v>0.01</v>
      </c>
      <c r="N8" s="39">
        <f t="shared" ref="N8:N31" si="8">N7*(1+O7)</f>
        <v>47.026431900000006</v>
      </c>
      <c r="O8" s="41">
        <v>0.01</v>
      </c>
    </row>
    <row r="9" spans="2:15" x14ac:dyDescent="0.2">
      <c r="B9" s="38">
        <f t="shared" si="2"/>
        <v>2020</v>
      </c>
      <c r="C9" s="39">
        <f t="shared" si="3"/>
        <v>63.734968797224184</v>
      </c>
      <c r="D9" s="40">
        <f t="shared" si="0"/>
        <v>-2.7058820387870702E-2</v>
      </c>
      <c r="E9" s="39">
        <f t="shared" si="4"/>
        <v>56.806843947643991</v>
      </c>
      <c r="F9" s="40">
        <f t="shared" si="1"/>
        <v>-6.853475156913541E-2</v>
      </c>
      <c r="G9" s="80"/>
      <c r="H9" s="39">
        <f t="shared" si="5"/>
        <v>53.399198273400003</v>
      </c>
      <c r="I9" s="41">
        <v>6.0000000000000001E-3</v>
      </c>
      <c r="J9" s="39">
        <f t="shared" si="6"/>
        <v>53.399198273400003</v>
      </c>
      <c r="K9" s="41">
        <v>6.0000000000000001E-3</v>
      </c>
      <c r="L9" s="39">
        <f t="shared" si="7"/>
        <v>47.496696219000007</v>
      </c>
      <c r="M9" s="41">
        <v>6.0000000000000001E-3</v>
      </c>
      <c r="N9" s="39">
        <f t="shared" si="8"/>
        <v>47.496696219000007</v>
      </c>
      <c r="O9" s="41">
        <v>6.0000000000000001E-3</v>
      </c>
    </row>
    <row r="10" spans="2:15" x14ac:dyDescent="0.2">
      <c r="B10" s="38">
        <f t="shared" si="2"/>
        <v>2021</v>
      </c>
      <c r="C10" s="39">
        <f t="shared" si="3"/>
        <v>62.010375724113551</v>
      </c>
      <c r="D10" s="40">
        <f t="shared" si="0"/>
        <v>-1.7588233252115958E-2</v>
      </c>
      <c r="E10" s="39">
        <f t="shared" si="4"/>
        <v>52.913601010265566</v>
      </c>
      <c r="F10" s="40">
        <f t="shared" si="1"/>
        <v>-5.6198496286691033E-2</v>
      </c>
      <c r="G10" s="80"/>
      <c r="H10" s="39">
        <f t="shared" si="5"/>
        <v>53.719593463040404</v>
      </c>
      <c r="I10" s="41">
        <v>6.0000000000000001E-3</v>
      </c>
      <c r="J10" s="39">
        <f t="shared" si="6"/>
        <v>53.719593463040404</v>
      </c>
      <c r="K10" s="41">
        <v>6.0000000000000001E-3</v>
      </c>
      <c r="L10" s="39">
        <f t="shared" si="7"/>
        <v>47.781676396314005</v>
      </c>
      <c r="M10" s="41">
        <v>6.0000000000000001E-3</v>
      </c>
      <c r="N10" s="39">
        <f t="shared" si="8"/>
        <v>47.781676396314005</v>
      </c>
      <c r="O10" s="41">
        <v>6.0000000000000001E-3</v>
      </c>
    </row>
    <row r="11" spans="2:15" x14ac:dyDescent="0.2">
      <c r="B11" s="38">
        <f t="shared" si="2"/>
        <v>2022</v>
      </c>
      <c r="C11" s="42">
        <f t="shared" si="3"/>
        <v>60.919722771826493</v>
      </c>
      <c r="D11" s="40">
        <f t="shared" si="0"/>
        <v>-1.1432351613875373E-2</v>
      </c>
      <c r="E11" s="42">
        <f t="shared" si="4"/>
        <v>49.939936200374703</v>
      </c>
      <c r="F11" s="40">
        <f t="shared" si="1"/>
        <v>-4.6082766955086646E-2</v>
      </c>
      <c r="G11" s="80"/>
      <c r="H11" s="42">
        <f t="shared" si="5"/>
        <v>54.041911023818649</v>
      </c>
      <c r="I11" s="41">
        <v>6.0000000000000001E-3</v>
      </c>
      <c r="J11" s="42">
        <f t="shared" si="6"/>
        <v>54.041911023818649</v>
      </c>
      <c r="K11" s="41">
        <v>6.0000000000000001E-3</v>
      </c>
      <c r="L11" s="42">
        <f t="shared" si="7"/>
        <v>48.068366454691891</v>
      </c>
      <c r="M11" s="41">
        <v>6.0000000000000001E-3</v>
      </c>
      <c r="N11" s="42">
        <f t="shared" si="8"/>
        <v>48.068366454691891</v>
      </c>
      <c r="O11" s="41">
        <v>6.0000000000000001E-3</v>
      </c>
    </row>
    <row r="12" spans="2:15" x14ac:dyDescent="0.2">
      <c r="B12" s="38">
        <f t="shared" si="2"/>
        <v>2023</v>
      </c>
      <c r="C12" s="42">
        <f t="shared" si="3"/>
        <v>60.223267080879161</v>
      </c>
      <c r="D12" s="40">
        <f t="shared" si="0"/>
        <v>-7.4310285490189927E-3</v>
      </c>
      <c r="E12" s="42">
        <f t="shared" si="4"/>
        <v>47.638565758700942</v>
      </c>
      <c r="F12" s="40">
        <f t="shared" si="1"/>
        <v>-3.7787868903171047E-2</v>
      </c>
      <c r="G12" s="80"/>
      <c r="H12" s="42">
        <f t="shared" si="5"/>
        <v>54.36616248996156</v>
      </c>
      <c r="I12" s="41">
        <v>6.0000000000000001E-3</v>
      </c>
      <c r="J12" s="42">
        <f t="shared" si="6"/>
        <v>54.36616248996156</v>
      </c>
      <c r="K12" s="41">
        <v>6.0000000000000001E-3</v>
      </c>
      <c r="L12" s="42">
        <f t="shared" si="7"/>
        <v>48.356776653420042</v>
      </c>
      <c r="M12" s="41">
        <v>6.0000000000000001E-3</v>
      </c>
      <c r="N12" s="42">
        <f t="shared" si="8"/>
        <v>48.356776653420042</v>
      </c>
      <c r="O12" s="41">
        <v>6.0000000000000001E-3</v>
      </c>
    </row>
    <row r="13" spans="2:15" x14ac:dyDescent="0.2">
      <c r="B13" s="38">
        <f t="shared" si="2"/>
        <v>2024</v>
      </c>
      <c r="C13" s="42">
        <f t="shared" si="3"/>
        <v>59.775746263885949</v>
      </c>
      <c r="D13" s="40">
        <f t="shared" si="0"/>
        <v>-4.8301685568623454E-3</v>
      </c>
      <c r="E13" s="42">
        <f t="shared" si="4"/>
        <v>45.838405881076056</v>
      </c>
      <c r="F13" s="40">
        <f t="shared" si="1"/>
        <v>-3.0986052500600256E-2</v>
      </c>
      <c r="G13" s="80"/>
      <c r="H13" s="42">
        <f t="shared" si="5"/>
        <v>54.69235946490133</v>
      </c>
      <c r="I13" s="41">
        <v>6.0000000000000001E-3</v>
      </c>
      <c r="J13" s="42">
        <f t="shared" si="6"/>
        <v>54.69235946490133</v>
      </c>
      <c r="K13" s="41">
        <v>6.0000000000000001E-3</v>
      </c>
      <c r="L13" s="42">
        <f t="shared" si="7"/>
        <v>48.646917313340559</v>
      </c>
      <c r="M13" s="41">
        <v>6.0000000000000001E-3</v>
      </c>
      <c r="N13" s="42">
        <f t="shared" si="8"/>
        <v>48.646917313340559</v>
      </c>
      <c r="O13" s="41">
        <v>6.0000000000000001E-3</v>
      </c>
    </row>
    <row r="14" spans="2:15" x14ac:dyDescent="0.2">
      <c r="B14" s="38">
        <f t="shared" si="2"/>
        <v>2025</v>
      </c>
      <c r="C14" s="42">
        <f t="shared" si="3"/>
        <v>59.487019333819148</v>
      </c>
      <c r="D14" s="40">
        <f t="shared" si="0"/>
        <v>-3.1396095619605248E-3</v>
      </c>
      <c r="E14" s="42">
        <f t="shared" si="4"/>
        <v>44.418054629901206</v>
      </c>
      <c r="F14" s="40">
        <f t="shared" si="1"/>
        <v>-2.540856305049221E-2</v>
      </c>
      <c r="G14" s="80"/>
      <c r="H14" s="42">
        <f t="shared" si="5"/>
        <v>55.020513621690739</v>
      </c>
      <c r="I14" s="41">
        <f t="shared" ref="I14:I31" si="9">I$5</f>
        <v>0</v>
      </c>
      <c r="J14" s="42">
        <f t="shared" si="6"/>
        <v>55.020513621690739</v>
      </c>
      <c r="K14" s="41">
        <f t="shared" ref="K14:K31" si="10">K$5</f>
        <v>0.01</v>
      </c>
      <c r="L14" s="42">
        <f t="shared" si="7"/>
        <v>48.938798817220601</v>
      </c>
      <c r="M14" s="41">
        <f t="shared" ref="M14:M31" si="11">M$5</f>
        <v>0</v>
      </c>
      <c r="N14" s="42">
        <f t="shared" si="8"/>
        <v>48.938798817220601</v>
      </c>
      <c r="O14" s="41">
        <f t="shared" ref="O14:O31" si="12">O$5</f>
        <v>0.01</v>
      </c>
    </row>
    <row r="15" spans="2:15" x14ac:dyDescent="0.2">
      <c r="B15" s="38">
        <f t="shared" si="2"/>
        <v>2026</v>
      </c>
      <c r="C15" s="42">
        <f t="shared" si="3"/>
        <v>59.300253319106154</v>
      </c>
      <c r="D15" s="40">
        <f t="shared" si="0"/>
        <v>-2.0407462152743413E-3</v>
      </c>
      <c r="E15" s="42">
        <f t="shared" si="4"/>
        <v>43.289455688257156</v>
      </c>
      <c r="F15" s="40">
        <f t="shared" si="1"/>
        <v>-2.0835021701403611E-2</v>
      </c>
      <c r="G15" s="80"/>
      <c r="H15" s="42">
        <f t="shared" si="5"/>
        <v>55.020513621690739</v>
      </c>
      <c r="I15" s="41">
        <f t="shared" si="9"/>
        <v>0</v>
      </c>
      <c r="J15" s="42">
        <f t="shared" si="6"/>
        <v>55.570718757907649</v>
      </c>
      <c r="K15" s="41">
        <f t="shared" si="10"/>
        <v>0.01</v>
      </c>
      <c r="L15" s="42">
        <f t="shared" si="7"/>
        <v>48.938798817220601</v>
      </c>
      <c r="M15" s="41">
        <f t="shared" si="11"/>
        <v>0</v>
      </c>
      <c r="N15" s="42">
        <f t="shared" si="8"/>
        <v>49.428186805392805</v>
      </c>
      <c r="O15" s="41">
        <f t="shared" si="12"/>
        <v>0.01</v>
      </c>
    </row>
    <row r="16" spans="2:15" x14ac:dyDescent="0.2">
      <c r="B16" s="38">
        <f t="shared" si="2"/>
        <v>2027</v>
      </c>
      <c r="C16" s="42">
        <f t="shared" si="3"/>
        <v>59.179236551580374</v>
      </c>
      <c r="D16" s="40">
        <f t="shared" si="0"/>
        <v>-1.3264850399283218E-3</v>
      </c>
      <c r="E16" s="42">
        <f t="shared" si="4"/>
        <v>42.387518939550368</v>
      </c>
      <c r="F16" s="40">
        <f t="shared" si="1"/>
        <v>-1.7084717795150962E-2</v>
      </c>
      <c r="G16" s="80"/>
      <c r="H16" s="42">
        <f t="shared" si="5"/>
        <v>55.020513621690739</v>
      </c>
      <c r="I16" s="41">
        <f t="shared" si="9"/>
        <v>0</v>
      </c>
      <c r="J16" s="42">
        <f t="shared" si="6"/>
        <v>56.126425945486723</v>
      </c>
      <c r="K16" s="41">
        <f t="shared" si="10"/>
        <v>0.01</v>
      </c>
      <c r="L16" s="42">
        <f t="shared" si="7"/>
        <v>48.938798817220601</v>
      </c>
      <c r="M16" s="41">
        <f t="shared" si="11"/>
        <v>0</v>
      </c>
      <c r="N16" s="42">
        <f t="shared" si="8"/>
        <v>49.922468673446737</v>
      </c>
      <c r="O16" s="41">
        <f t="shared" si="12"/>
        <v>0.01</v>
      </c>
    </row>
    <row r="17" spans="2:15" x14ac:dyDescent="0.2">
      <c r="B17" s="38">
        <f t="shared" si="2"/>
        <v>2028</v>
      </c>
      <c r="C17" s="42">
        <f t="shared" si="3"/>
        <v>59.100736179620327</v>
      </c>
      <c r="D17" s="40">
        <f t="shared" si="0"/>
        <v>-8.6221527595340916E-4</v>
      </c>
      <c r="E17" s="42">
        <f t="shared" si="4"/>
        <v>41.663340140431536</v>
      </c>
      <c r="F17" s="40">
        <f t="shared" si="1"/>
        <v>-1.4009468592023788E-2</v>
      </c>
      <c r="G17" s="80"/>
      <c r="H17" s="42">
        <f t="shared" si="5"/>
        <v>55.020513621690739</v>
      </c>
      <c r="I17" s="41">
        <f t="shared" si="9"/>
        <v>0</v>
      </c>
      <c r="J17" s="42">
        <f t="shared" si="6"/>
        <v>56.687690204941589</v>
      </c>
      <c r="K17" s="41">
        <f t="shared" si="10"/>
        <v>0.01</v>
      </c>
      <c r="L17" s="42">
        <f t="shared" si="7"/>
        <v>48.938798817220601</v>
      </c>
      <c r="M17" s="41">
        <f t="shared" si="11"/>
        <v>0</v>
      </c>
      <c r="N17" s="42">
        <f t="shared" si="8"/>
        <v>50.421693360181202</v>
      </c>
      <c r="O17" s="41">
        <f t="shared" si="12"/>
        <v>0.01</v>
      </c>
    </row>
    <row r="18" spans="2:15" x14ac:dyDescent="0.2">
      <c r="B18" s="38">
        <f t="shared" si="2"/>
        <v>2029</v>
      </c>
      <c r="C18" s="42">
        <f t="shared" si="3"/>
        <v>59.049778622066164</v>
      </c>
      <c r="D18" s="40">
        <f t="shared" si="0"/>
        <v>-5.6043992936971598E-4</v>
      </c>
      <c r="E18" s="42">
        <f t="shared" si="4"/>
        <v>41.079658885295359</v>
      </c>
      <c r="F18" s="40">
        <f t="shared" si="1"/>
        <v>-1.1487764245459506E-2</v>
      </c>
      <c r="G18" s="80"/>
      <c r="H18" s="42">
        <f t="shared" si="5"/>
        <v>55.020513621690739</v>
      </c>
      <c r="I18" s="41">
        <f t="shared" si="9"/>
        <v>0</v>
      </c>
      <c r="J18" s="42">
        <f t="shared" si="6"/>
        <v>57.254567106991004</v>
      </c>
      <c r="K18" s="41">
        <f t="shared" si="10"/>
        <v>0.01</v>
      </c>
      <c r="L18" s="42">
        <f t="shared" si="7"/>
        <v>48.938798817220601</v>
      </c>
      <c r="M18" s="41">
        <f t="shared" si="11"/>
        <v>0</v>
      </c>
      <c r="N18" s="42">
        <f t="shared" si="8"/>
        <v>50.925910293783012</v>
      </c>
      <c r="O18" s="41">
        <f t="shared" si="12"/>
        <v>0.01</v>
      </c>
    </row>
    <row r="19" spans="2:15" x14ac:dyDescent="0.2">
      <c r="B19" s="38">
        <f t="shared" si="2"/>
        <v>2030</v>
      </c>
      <c r="C19" s="42">
        <f t="shared" si="3"/>
        <v>59.016684768305915</v>
      </c>
      <c r="D19" s="40">
        <f t="shared" si="0"/>
        <v>-3.6428595409031538E-4</v>
      </c>
      <c r="E19" s="42">
        <f t="shared" si="4"/>
        <v>40.607745448737191</v>
      </c>
      <c r="F19" s="40">
        <f t="shared" si="1"/>
        <v>-9.4199666812767938E-3</v>
      </c>
      <c r="G19" s="80"/>
      <c r="H19" s="42">
        <f t="shared" si="5"/>
        <v>55.020513621690739</v>
      </c>
      <c r="I19" s="41">
        <f t="shared" si="9"/>
        <v>0</v>
      </c>
      <c r="J19" s="42">
        <f t="shared" si="6"/>
        <v>57.827112778060915</v>
      </c>
      <c r="K19" s="41">
        <f t="shared" si="10"/>
        <v>0.01</v>
      </c>
      <c r="L19" s="42">
        <f t="shared" si="7"/>
        <v>48.938798817220601</v>
      </c>
      <c r="M19" s="41">
        <f t="shared" si="11"/>
        <v>0</v>
      </c>
      <c r="N19" s="42">
        <f t="shared" si="8"/>
        <v>51.435169396720845</v>
      </c>
      <c r="O19" s="41">
        <f t="shared" si="12"/>
        <v>0.01</v>
      </c>
    </row>
    <row r="20" spans="2:15" x14ac:dyDescent="0.2">
      <c r="B20" s="38">
        <f t="shared" si="2"/>
        <v>2031</v>
      </c>
      <c r="C20" s="39">
        <f t="shared" si="3"/>
        <v>58.995185818987842</v>
      </c>
      <c r="D20" s="40">
        <f t="shared" si="0"/>
        <v>-2.3678587015870501E-4</v>
      </c>
      <c r="E20" s="39">
        <f t="shared" si="4"/>
        <v>40.225221839608317</v>
      </c>
      <c r="F20" s="40">
        <f t="shared" si="1"/>
        <v>-7.7243726786469704E-3</v>
      </c>
      <c r="G20" s="80"/>
      <c r="H20" s="39">
        <f t="shared" si="5"/>
        <v>55.020513621690739</v>
      </c>
      <c r="I20" s="41">
        <f t="shared" si="9"/>
        <v>0</v>
      </c>
      <c r="J20" s="39">
        <f t="shared" si="6"/>
        <v>58.405383905841525</v>
      </c>
      <c r="K20" s="41">
        <f t="shared" si="10"/>
        <v>0.01</v>
      </c>
      <c r="L20" s="39">
        <f t="shared" si="7"/>
        <v>48.938798817220601</v>
      </c>
      <c r="M20" s="41">
        <f t="shared" si="11"/>
        <v>0</v>
      </c>
      <c r="N20" s="39">
        <f t="shared" si="8"/>
        <v>51.949521090688052</v>
      </c>
      <c r="O20" s="41">
        <f t="shared" si="12"/>
        <v>0.01</v>
      </c>
    </row>
    <row r="21" spans="2:15" x14ac:dyDescent="0.2">
      <c r="B21" s="38">
        <f t="shared" si="2"/>
        <v>2032</v>
      </c>
      <c r="C21" s="39">
        <f t="shared" si="3"/>
        <v>58.981216592578519</v>
      </c>
      <c r="D21" s="40">
        <f t="shared" si="0"/>
        <v>-1.5391081560315825E-4</v>
      </c>
      <c r="E21" s="39">
        <f t="shared" si="4"/>
        <v>39.914507235037931</v>
      </c>
      <c r="F21" s="40">
        <f t="shared" si="1"/>
        <v>-6.3339855964905153E-3</v>
      </c>
      <c r="G21" s="80"/>
      <c r="H21" s="39">
        <f t="shared" si="5"/>
        <v>55.020513621690739</v>
      </c>
      <c r="I21" s="41">
        <f t="shared" si="9"/>
        <v>0</v>
      </c>
      <c r="J21" s="39">
        <f t="shared" si="6"/>
        <v>58.989437744899938</v>
      </c>
      <c r="K21" s="41">
        <f t="shared" si="10"/>
        <v>0.01</v>
      </c>
      <c r="L21" s="39">
        <f t="shared" si="7"/>
        <v>48.938798817220601</v>
      </c>
      <c r="M21" s="41">
        <f t="shared" si="11"/>
        <v>0</v>
      </c>
      <c r="N21" s="39">
        <f t="shared" si="8"/>
        <v>52.469016301594934</v>
      </c>
      <c r="O21" s="41">
        <f t="shared" si="12"/>
        <v>0.01</v>
      </c>
    </row>
    <row r="22" spans="2:15" x14ac:dyDescent="0.2">
      <c r="B22" s="38">
        <f t="shared" si="2"/>
        <v>2033</v>
      </c>
      <c r="C22" s="39">
        <f t="shared" si="3"/>
        <v>58.972138745427493</v>
      </c>
      <c r="D22" s="40">
        <f t="shared" si="0"/>
        <v>-1.0004203014205286E-4</v>
      </c>
      <c r="E22" s="39">
        <f t="shared" si="4"/>
        <v>39.661689321120186</v>
      </c>
      <c r="F22" s="40">
        <f t="shared" si="1"/>
        <v>-5.1938681891222221E-3</v>
      </c>
      <c r="G22" s="80"/>
      <c r="H22" s="39">
        <f t="shared" si="5"/>
        <v>55.020513621690739</v>
      </c>
      <c r="I22" s="41">
        <f t="shared" si="9"/>
        <v>0</v>
      </c>
      <c r="J22" s="39">
        <f t="shared" si="6"/>
        <v>59.579332122348937</v>
      </c>
      <c r="K22" s="41">
        <f t="shared" si="10"/>
        <v>0.01</v>
      </c>
      <c r="L22" s="39">
        <f t="shared" si="7"/>
        <v>48.938798817220601</v>
      </c>
      <c r="M22" s="41">
        <f t="shared" si="11"/>
        <v>0</v>
      </c>
      <c r="N22" s="39">
        <f t="shared" si="8"/>
        <v>52.993706464610881</v>
      </c>
      <c r="O22" s="41">
        <f t="shared" si="12"/>
        <v>0.01</v>
      </c>
    </row>
    <row r="23" spans="2:15" x14ac:dyDescent="0.2">
      <c r="B23" s="38">
        <f t="shared" si="2"/>
        <v>2034</v>
      </c>
      <c r="C23" s="39">
        <f t="shared" si="3"/>
        <v>58.966239052945582</v>
      </c>
      <c r="D23" s="40">
        <f t="shared" si="0"/>
        <v>-6.5027319592334367E-5</v>
      </c>
      <c r="E23" s="39">
        <f t="shared" si="4"/>
        <v>39.455691734628367</v>
      </c>
      <c r="F23" s="40">
        <f t="shared" si="1"/>
        <v>-4.258971915080222E-3</v>
      </c>
      <c r="G23" s="80"/>
      <c r="H23" s="39">
        <f t="shared" si="5"/>
        <v>55.020513621690739</v>
      </c>
      <c r="I23" s="41">
        <f t="shared" si="9"/>
        <v>0</v>
      </c>
      <c r="J23" s="39">
        <f t="shared" si="6"/>
        <v>60.175125443572426</v>
      </c>
      <c r="K23" s="41">
        <f t="shared" si="10"/>
        <v>0.01</v>
      </c>
      <c r="L23" s="39">
        <f t="shared" si="7"/>
        <v>48.938798817220601</v>
      </c>
      <c r="M23" s="41">
        <f t="shared" si="11"/>
        <v>0</v>
      </c>
      <c r="N23" s="39">
        <f t="shared" si="8"/>
        <v>53.523643529256994</v>
      </c>
      <c r="O23" s="41">
        <f t="shared" si="12"/>
        <v>0.01</v>
      </c>
    </row>
    <row r="24" spans="2:15" x14ac:dyDescent="0.2">
      <c r="B24" s="38">
        <f t="shared" si="2"/>
        <v>2035</v>
      </c>
      <c r="C24" s="39">
        <f t="shared" si="3"/>
        <v>58.962404636473529</v>
      </c>
      <c r="D24" s="40">
        <f t="shared" si="0"/>
        <v>-4.2267757735017337E-5</v>
      </c>
      <c r="E24" s="39">
        <f t="shared" si="4"/>
        <v>39.287651051640523</v>
      </c>
      <c r="F24" s="40">
        <f t="shared" si="1"/>
        <v>-3.4923569703657819E-3</v>
      </c>
      <c r="G24" s="80"/>
      <c r="H24" s="39">
        <f t="shared" si="5"/>
        <v>55.020513621690739</v>
      </c>
      <c r="I24" s="41">
        <f t="shared" si="9"/>
        <v>0</v>
      </c>
      <c r="J24" s="39">
        <f t="shared" si="6"/>
        <v>60.776876698008152</v>
      </c>
      <c r="K24" s="41">
        <f t="shared" si="10"/>
        <v>0.01</v>
      </c>
      <c r="L24" s="39">
        <f t="shared" si="7"/>
        <v>48.938798817220601</v>
      </c>
      <c r="M24" s="41">
        <f t="shared" si="11"/>
        <v>0</v>
      </c>
      <c r="N24" s="39">
        <f t="shared" si="8"/>
        <v>54.058879964549561</v>
      </c>
      <c r="O24" s="41">
        <f t="shared" si="12"/>
        <v>0.01</v>
      </c>
    </row>
    <row r="25" spans="2:15" x14ac:dyDescent="0.2">
      <c r="B25" s="38">
        <f t="shared" si="2"/>
        <v>2036</v>
      </c>
      <c r="C25" s="39">
        <f t="shared" si="3"/>
        <v>58.95991242783888</v>
      </c>
      <c r="D25" s="40">
        <f t="shared" si="0"/>
        <v>-2.7474042527761269E-5</v>
      </c>
      <c r="E25" s="39">
        <f t="shared" si="4"/>
        <v>39.15044454964103</v>
      </c>
      <c r="F25" s="40">
        <f t="shared" si="1"/>
        <v>-2.8637327156999411E-3</v>
      </c>
      <c r="G25" s="80"/>
      <c r="H25" s="39">
        <f t="shared" si="5"/>
        <v>55.020513621690739</v>
      </c>
      <c r="I25" s="41">
        <f t="shared" si="9"/>
        <v>0</v>
      </c>
      <c r="J25" s="39">
        <f t="shared" si="6"/>
        <v>61.384645464988232</v>
      </c>
      <c r="K25" s="41">
        <f t="shared" si="10"/>
        <v>0.01</v>
      </c>
      <c r="L25" s="39">
        <f t="shared" si="7"/>
        <v>48.938798817220601</v>
      </c>
      <c r="M25" s="41">
        <f t="shared" si="11"/>
        <v>0</v>
      </c>
      <c r="N25" s="39">
        <f t="shared" si="8"/>
        <v>54.599468764195059</v>
      </c>
      <c r="O25" s="41">
        <f t="shared" si="12"/>
        <v>0.01</v>
      </c>
    </row>
    <row r="26" spans="2:15" x14ac:dyDescent="0.2">
      <c r="B26" s="38">
        <f t="shared" si="2"/>
        <v>2037</v>
      </c>
      <c r="C26" s="39">
        <f t="shared" si="3"/>
        <v>58.958292560697402</v>
      </c>
      <c r="D26" s="40">
        <f t="shared" si="0"/>
        <v>-1.7858127643044826E-5</v>
      </c>
      <c r="E26" s="39">
        <f t="shared" si="4"/>
        <v>39.038328140750025</v>
      </c>
      <c r="F26" s="40">
        <f t="shared" si="1"/>
        <v>-2.3482608268739517E-3</v>
      </c>
      <c r="G26" s="80"/>
      <c r="H26" s="39">
        <f t="shared" si="5"/>
        <v>55.020513621690739</v>
      </c>
      <c r="I26" s="41">
        <f t="shared" si="9"/>
        <v>0</v>
      </c>
      <c r="J26" s="39">
        <f t="shared" si="6"/>
        <v>61.998491919638113</v>
      </c>
      <c r="K26" s="41">
        <f t="shared" si="10"/>
        <v>0.01</v>
      </c>
      <c r="L26" s="39">
        <f t="shared" si="7"/>
        <v>48.938798817220601</v>
      </c>
      <c r="M26" s="41">
        <f t="shared" si="11"/>
        <v>0</v>
      </c>
      <c r="N26" s="39">
        <f t="shared" si="8"/>
        <v>55.14546345183701</v>
      </c>
      <c r="O26" s="41">
        <f t="shared" si="12"/>
        <v>0.01</v>
      </c>
    </row>
    <row r="27" spans="2:15" x14ac:dyDescent="0.2">
      <c r="B27" s="38">
        <f t="shared" si="2"/>
        <v>2038</v>
      </c>
      <c r="C27" s="39">
        <f t="shared" si="3"/>
        <v>58.957239675983232</v>
      </c>
      <c r="D27" s="40">
        <f t="shared" si="0"/>
        <v>-1.1607782967979137E-5</v>
      </c>
      <c r="E27" s="39">
        <f t="shared" si="4"/>
        <v>38.946655964030448</v>
      </c>
      <c r="F27" s="40">
        <f t="shared" si="1"/>
        <v>-1.9255738780366402E-3</v>
      </c>
      <c r="G27" s="80"/>
      <c r="H27" s="39">
        <f t="shared" si="5"/>
        <v>55.020513621690739</v>
      </c>
      <c r="I27" s="41">
        <f t="shared" si="9"/>
        <v>0</v>
      </c>
      <c r="J27" s="39">
        <f t="shared" si="6"/>
        <v>62.618476838834496</v>
      </c>
      <c r="K27" s="41">
        <f t="shared" si="10"/>
        <v>0.01</v>
      </c>
      <c r="L27" s="39">
        <f t="shared" si="7"/>
        <v>48.938798817220601</v>
      </c>
      <c r="M27" s="41">
        <f t="shared" si="11"/>
        <v>0</v>
      </c>
      <c r="N27" s="39">
        <f t="shared" si="8"/>
        <v>55.696918086355382</v>
      </c>
      <c r="O27" s="41">
        <f t="shared" si="12"/>
        <v>0.01</v>
      </c>
    </row>
    <row r="28" spans="2:15" x14ac:dyDescent="0.2">
      <c r="B28" s="52">
        <f t="shared" si="2"/>
        <v>2039</v>
      </c>
      <c r="C28" s="42">
        <f t="shared" si="3"/>
        <v>58.956555313140683</v>
      </c>
      <c r="D28" s="53">
        <f t="shared" si="0"/>
        <v>-7.5450589291864391E-6</v>
      </c>
      <c r="E28" s="42">
        <f t="shared" si="4"/>
        <v>38.871661300669231</v>
      </c>
      <c r="F28" s="53">
        <f t="shared" si="1"/>
        <v>-1.578970579990045E-3</v>
      </c>
      <c r="G28" s="80"/>
      <c r="H28" s="42">
        <f t="shared" si="5"/>
        <v>55.020513621690739</v>
      </c>
      <c r="I28" s="54">
        <f t="shared" si="9"/>
        <v>0</v>
      </c>
      <c r="J28" s="42">
        <f t="shared" si="6"/>
        <v>63.244661607222845</v>
      </c>
      <c r="K28" s="54">
        <f t="shared" si="10"/>
        <v>0.01</v>
      </c>
      <c r="L28" s="42">
        <f t="shared" si="7"/>
        <v>48.938798817220601</v>
      </c>
      <c r="M28" s="54">
        <f t="shared" si="11"/>
        <v>0</v>
      </c>
      <c r="N28" s="42">
        <f t="shared" si="8"/>
        <v>56.253887267218936</v>
      </c>
      <c r="O28" s="54">
        <f t="shared" si="12"/>
        <v>0.01</v>
      </c>
    </row>
    <row r="29" spans="2:15" x14ac:dyDescent="0.2">
      <c r="B29" s="38">
        <f t="shared" si="2"/>
        <v>2040</v>
      </c>
      <c r="C29" s="108">
        <f t="shared" si="3"/>
        <v>58.95611048245658</v>
      </c>
      <c r="D29" s="40">
        <f t="shared" si="0"/>
        <v>-4.9042883039711853E-6</v>
      </c>
      <c r="E29" s="108">
        <f t="shared" si="4"/>
        <v>38.810284091080135</v>
      </c>
      <c r="F29" s="40">
        <f t="shared" si="1"/>
        <v>-1.2947558755918367E-3</v>
      </c>
      <c r="G29" s="80"/>
      <c r="H29" s="39">
        <f t="shared" si="5"/>
        <v>55.020513621690739</v>
      </c>
      <c r="I29" s="41">
        <f t="shared" si="9"/>
        <v>0</v>
      </c>
      <c r="J29" s="39">
        <f t="shared" si="6"/>
        <v>63.877108223295075</v>
      </c>
      <c r="K29" s="41">
        <f t="shared" si="10"/>
        <v>0.01</v>
      </c>
      <c r="L29" s="39">
        <f t="shared" si="7"/>
        <v>48.938798817220601</v>
      </c>
      <c r="M29" s="41">
        <f t="shared" si="11"/>
        <v>0</v>
      </c>
      <c r="N29" s="39">
        <f t="shared" si="8"/>
        <v>56.816426139891128</v>
      </c>
      <c r="O29" s="41">
        <f t="shared" si="12"/>
        <v>0.01</v>
      </c>
    </row>
    <row r="30" spans="2:15" x14ac:dyDescent="0.2">
      <c r="B30" s="38">
        <f t="shared" si="2"/>
        <v>2041</v>
      </c>
      <c r="C30" s="39">
        <f t="shared" si="3"/>
        <v>58.95582134469349</v>
      </c>
      <c r="D30" s="40">
        <f t="shared" si="0"/>
        <v>-3.1877873975812706E-6</v>
      </c>
      <c r="E30" s="39">
        <f t="shared" si="4"/>
        <v>38.760034247719823</v>
      </c>
      <c r="F30" s="40">
        <f t="shared" si="1"/>
        <v>-1.0616998179853062E-3</v>
      </c>
      <c r="G30" s="80"/>
      <c r="H30" s="39">
        <f t="shared" si="5"/>
        <v>55.020513621690739</v>
      </c>
      <c r="I30" s="41">
        <f t="shared" si="9"/>
        <v>0</v>
      </c>
      <c r="J30" s="39">
        <f t="shared" si="6"/>
        <v>64.515879305528031</v>
      </c>
      <c r="K30" s="41">
        <f t="shared" si="10"/>
        <v>0.01</v>
      </c>
      <c r="L30" s="39">
        <f t="shared" si="7"/>
        <v>48.938798817220601</v>
      </c>
      <c r="M30" s="41">
        <f t="shared" si="11"/>
        <v>0</v>
      </c>
      <c r="N30" s="39">
        <f t="shared" si="8"/>
        <v>57.384590401290041</v>
      </c>
      <c r="O30" s="41">
        <f t="shared" si="12"/>
        <v>0.01</v>
      </c>
    </row>
    <row r="31" spans="2:15" ht="17" thickBot="1" x14ac:dyDescent="0.25">
      <c r="B31" s="43">
        <f t="shared" si="2"/>
        <v>2042</v>
      </c>
      <c r="C31" s="44">
        <f t="shared" si="3"/>
        <v>58.95563340606919</v>
      </c>
      <c r="D31" s="45">
        <f t="shared" si="0"/>
        <v>-2.0720618084278257E-6</v>
      </c>
      <c r="E31" s="44">
        <f t="shared" si="4"/>
        <v>38.718882726413916</v>
      </c>
      <c r="F31" s="45">
        <f t="shared" si="1"/>
        <v>-8.7059385074795095E-4</v>
      </c>
      <c r="G31" s="81"/>
      <c r="H31" s="44">
        <f t="shared" si="5"/>
        <v>55.020513621690739</v>
      </c>
      <c r="I31" s="46">
        <f t="shared" si="9"/>
        <v>0</v>
      </c>
      <c r="J31" s="44">
        <f t="shared" si="6"/>
        <v>65.161038098583319</v>
      </c>
      <c r="K31" s="46">
        <f t="shared" si="10"/>
        <v>0.01</v>
      </c>
      <c r="L31" s="44">
        <f t="shared" si="7"/>
        <v>48.938798817220601</v>
      </c>
      <c r="M31" s="46">
        <f t="shared" si="11"/>
        <v>0</v>
      </c>
      <c r="N31" s="44">
        <f t="shared" si="8"/>
        <v>57.958436305302939</v>
      </c>
      <c r="O31" s="46">
        <f t="shared" si="12"/>
        <v>0.01</v>
      </c>
    </row>
    <row r="32" spans="2:15" s="9" customFormat="1" x14ac:dyDescent="0.2">
      <c r="B32" s="20" t="s">
        <v>18</v>
      </c>
      <c r="D32" s="21">
        <v>0.65</v>
      </c>
      <c r="F32" s="21">
        <v>0.82</v>
      </c>
      <c r="G32" s="21"/>
      <c r="H32" s="22"/>
    </row>
    <row r="33" spans="2:8" s="9" customFormat="1" x14ac:dyDescent="0.2">
      <c r="B33" s="20" t="s">
        <v>79</v>
      </c>
      <c r="C33" s="114">
        <f>Costs!U19</f>
        <v>59.115168539325836</v>
      </c>
      <c r="D33" s="21"/>
      <c r="E33" s="115">
        <f>Costs!U20</f>
        <v>39.41011235955056</v>
      </c>
      <c r="F33" s="21"/>
      <c r="G33" s="21"/>
      <c r="H33" s="22"/>
    </row>
    <row r="34" spans="2:8" x14ac:dyDescent="0.2">
      <c r="B34" s="4"/>
      <c r="D34" s="6"/>
      <c r="F34" s="6"/>
    </row>
    <row r="35" spans="2:8" x14ac:dyDescent="0.2">
      <c r="B35" s="4" t="s">
        <v>1</v>
      </c>
      <c r="D35" s="6"/>
      <c r="F35" s="6"/>
    </row>
    <row r="36" spans="2:8" x14ac:dyDescent="0.2">
      <c r="B36" s="7" t="s">
        <v>7</v>
      </c>
      <c r="C36" s="5"/>
      <c r="D36" s="5"/>
      <c r="E36" s="5"/>
      <c r="F36" s="5"/>
    </row>
    <row r="37" spans="2:8" x14ac:dyDescent="0.2">
      <c r="B37" t="s">
        <v>11</v>
      </c>
    </row>
    <row r="38" spans="2:8" x14ac:dyDescent="0.2">
      <c r="B38" t="s">
        <v>20</v>
      </c>
    </row>
    <row r="39" spans="2:8" x14ac:dyDescent="0.2">
      <c r="B39" t="s">
        <v>85</v>
      </c>
    </row>
  </sheetData>
  <mergeCells count="6">
    <mergeCell ref="N3:O3"/>
    <mergeCell ref="C3:D3"/>
    <mergeCell ref="E3:F3"/>
    <mergeCell ref="H3:I3"/>
    <mergeCell ref="J3:K3"/>
    <mergeCell ref="L3:M3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Costs</vt:lpstr>
      <vt:lpstr>Energy</vt:lpstr>
      <vt:lpstr>5.7kW</vt:lpstr>
      <vt:lpstr>200kW</vt:lpstr>
      <vt:lpstr>1MW</vt:lpstr>
      <vt:lpstr>5MW</vt:lpstr>
      <vt:lpstr>100MW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Hendriks</dc:creator>
  <cp:lastModifiedBy>Microsoft Office User</cp:lastModifiedBy>
  <cp:lastPrinted>2017-10-19T02:52:33Z</cp:lastPrinted>
  <dcterms:created xsi:type="dcterms:W3CDTF">2017-08-28T22:05:40Z</dcterms:created>
  <dcterms:modified xsi:type="dcterms:W3CDTF">2017-11-22T20:03:21Z</dcterms:modified>
</cp:coreProperties>
</file>